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showInkAnnotation="0" hidePivotFieldList="1"/>
  <mc:AlternateContent xmlns:mc="http://schemas.openxmlformats.org/markup-compatibility/2006">
    <mc:Choice Requires="x15">
      <x15ac:absPath xmlns:x15ac="http://schemas.microsoft.com/office/spreadsheetml/2010/11/ac" url="https://planeacionnacional-my.sharepoint.com/personal/sisconpes_dnp_gov_co/Documents/SisCONPES 2.0/Grupo CONPES/Elaboración/3. Documentos/CONPES - Equidad de Género/04 Documento Aprobado/"/>
    </mc:Choice>
  </mc:AlternateContent>
  <xr:revisionPtr revIDLastSave="1" documentId="13_ncr:1_{1144328D-8E04-4A9E-8D4A-5DE76C5425D3}" xr6:coauthVersionLast="47" xr6:coauthVersionMax="47" xr10:uidLastSave="{3B0FC83C-B92C-4B39-B4E5-40EBE062B8F0}"/>
  <bookViews>
    <workbookView xWindow="-120" yWindow="-120" windowWidth="21840" windowHeight="13140" tabRatio="728" xr2:uid="{00000000-000D-0000-FFFF-FFFF00000000}"/>
  </bookViews>
  <sheets>
    <sheet name=" Plan acción seguimiento" sheetId="14" r:id="rId1"/>
    <sheet name="Indicadores de Resultado (IR)" sheetId="21" state="hidden" r:id="rId2"/>
    <sheet name="Lista de chequeo" sheetId="22" state="hidden" r:id="rId3"/>
    <sheet name="Instrucciones PAS" sheetId="18" state="hidden" r:id="rId4"/>
    <sheet name="Desplegables" sheetId="17"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2">#REF!</definedName>
    <definedName name="\A">#REF!</definedName>
    <definedName name="_9" localSheetId="2">[1]APACDO!#REF!</definedName>
    <definedName name="_9">[1]APACDO!#REF!</definedName>
    <definedName name="_arp2" localSheetId="2">#REF!</definedName>
    <definedName name="_arp2">#REF!</definedName>
    <definedName name="_xlnm._FilterDatabase" localSheetId="0" hidden="1">' Plan acción seguimiento'!$A$9:$DN$244</definedName>
    <definedName name="_xlnm._FilterDatabase" localSheetId="1" hidden="1">'Indicadores de Resultado (IR)'!$J$5:$K$5</definedName>
    <definedName name="_ivm2" localSheetId="1">#REF!</definedName>
    <definedName name="_ivm2" localSheetId="2">#REF!</definedName>
    <definedName name="_ivm2">#REF!</definedName>
    <definedName name="_Order1" hidden="1">255</definedName>
    <definedName name="_Order2" hidden="1">255</definedName>
    <definedName name="_pib1" localSheetId="1">'[2]98-2002'!#REF!</definedName>
    <definedName name="_pib1" localSheetId="2">'[2]98-2002'!#REF!</definedName>
    <definedName name="_pib1">'[2]98-2002'!#REF!</definedName>
    <definedName name="_Table1_Out" localSheetId="1" hidden="1">[3]CARBOCOL!#REF!</definedName>
    <definedName name="_Table1_Out" localSheetId="2" hidden="1">[3]CARBOCOL!#REF!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 localSheetId="2">#REF!</definedName>
    <definedName name="AA">#REF!</definedName>
    <definedName name="Agregado">[6]Listas!$E$4:$E$5</definedName>
    <definedName name="_xlnm.Print_Area" localSheetId="0">' Plan acción seguimiento'!$A$1:$CE$245</definedName>
    <definedName name="_xlnm.Print_Area" localSheetId="1">'Indicadores de Resultado (IR)'!$A$1:$W$17</definedName>
    <definedName name="_xlnm.Print_Area" localSheetId="3">'Instrucciones PAS'!$A$4:$B$44</definedName>
    <definedName name="_xlnm.Print_Area" localSheetId="2">'Lista de chequeo'!$A$5:$B$28</definedName>
    <definedName name="arp" localSheetId="1">#REF!</definedName>
    <definedName name="arp" localSheetId="2">#REF!</definedName>
    <definedName name="arp">#REF!</definedName>
    <definedName name="BB" localSheetId="1">#REF!</definedName>
    <definedName name="BB" localSheetId="2">#REF!</definedName>
    <definedName name="BB">#REF!</definedName>
    <definedName name="CAPITAL">[6]Listas!$I$4:$I$8</definedName>
    <definedName name="castigocuadro2">'[7]CUA1-3'!$Y$1:$AD$93</definedName>
    <definedName name="Categorias">[6]Listas!$D$4:$D$9</definedName>
    <definedName name="CC" localSheetId="2">#REF!</definedName>
    <definedName name="CC">#REF!</definedName>
    <definedName name="clasificacion" localSheetId="2">#REF!</definedName>
    <definedName name="clasificacion">#REF!</definedName>
    <definedName name="consol" localSheetId="2">#REF!</definedName>
    <definedName name="consol">#REF!</definedName>
    <definedName name="CUA">#REF!</definedName>
    <definedName name="CUA18A" localSheetId="1" hidden="1">{"trimestre",#N/A,FALSE,"TRIMESTRE";"empresa",#N/A,FALSE,"xEMPRESA";"eaab",#N/A,FALSE,"EAAB";"epma",#N/A,FALSE,"EPMA";"emca",#N/A,FALSE,"EMCA"}</definedName>
    <definedName name="CUA18A" localSheetId="2" hidden="1">{"trimestre",#N/A,FALSE,"TRIMESTRE";"empresa",#N/A,FALSE,"xEMPRESA";"eaab",#N/A,FALSE,"EAAB";"epma",#N/A,FALSE,"EPMA";"emca",#N/A,FALSE,"EMCA"}</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 localSheetId="1">#REF!</definedName>
    <definedName name="CUADRO_No._2" localSheetId="2">#REF!</definedName>
    <definedName name="CUADRO_No._2">#REF!</definedName>
    <definedName name="CUADRO_No._3" localSheetId="1">#REF!</definedName>
    <definedName name="CUADRO_No._3" localSheetId="2">#REF!</definedName>
    <definedName name="CUADRO_No._3">#REF!</definedName>
    <definedName name="CUADRO_No._4" localSheetId="1">#REF!</definedName>
    <definedName name="CUADRO_No._4" localSheetId="2">#REF!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 localSheetId="2">#REF!</definedName>
    <definedName name="FINANCIACIONGASTO">#REF!</definedName>
    <definedName name="fuente" localSheetId="2">#REF!</definedName>
    <definedName name="fuente">#REF!</definedName>
    <definedName name="fuentes" localSheetId="2">#REF!</definedName>
    <definedName name="fuentes">#REF!</definedName>
    <definedName name="HACIENDA">[6]Listas!$J$4:$J$36</definedName>
    <definedName name="INVERSION" localSheetId="2">#REF!</definedName>
    <definedName name="INVERSION">#REF!</definedName>
    <definedName name="ivm" localSheetId="2">#REF!</definedName>
    <definedName name="ivm">#REF!</definedName>
    <definedName name="MA" localSheetId="2">[1]APACDO!#REF!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 localSheetId="2">#REF!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 localSheetId="2">#REF!</definedName>
    <definedName name="RESTO">#REF!</definedName>
    <definedName name="salud" localSheetId="2">#REF!</definedName>
    <definedName name="salud">#REF!</definedName>
    <definedName name="salud2" localSheetId="2">#REF!</definedName>
    <definedName name="salud2">#REF!</definedName>
    <definedName name="Sector">[9]Listas!$A$4:$A$16</definedName>
    <definedName name="SI">'[5]CUA1-3'!#REF!</definedName>
    <definedName name="SUBDIRECTOR" localSheetId="2">#REF!</definedName>
    <definedName name="SUBDIRECTOR">#REF!</definedName>
    <definedName name="VARIACIONES" localSheetId="2">#REF!</definedName>
    <definedName name="VARIACIONES">#REF!</definedName>
    <definedName name="wrn.eaab." localSheetId="1" hidden="1">{"eaab",#N/A,FALSE,"EAAB"}</definedName>
    <definedName name="wrn.eaab." localSheetId="2" hidden="1">{"eaab",#N/A,FALSE,"EAAB"}</definedName>
    <definedName name="wrn.eaab." hidden="1">{"eaab",#N/A,FALSE,"EAAB"}</definedName>
    <definedName name="wrn.emca." localSheetId="1" hidden="1">{"emca",#N/A,FALSE,"EMCA"}</definedName>
    <definedName name="wrn.emca." localSheetId="2" hidden="1">{"emca",#N/A,FALSE,"EMCA"}</definedName>
    <definedName name="wrn.emca." hidden="1">{"emca",#N/A,FALSE,"EMCA"}</definedName>
    <definedName name="wrn.epma." localSheetId="1" hidden="1">{"epma",#N/A,FALSE,"EPMA"}</definedName>
    <definedName name="wrn.epma." localSheetId="2" hidden="1">{"epma",#N/A,FALSE,"EPMA"}</definedName>
    <definedName name="wrn.epma." hidden="1">{"epma",#N/A,FALSE,"EPMA"}</definedName>
    <definedName name="wrn.TODOS." localSheetId="1" hidden="1">{"trimestre",#N/A,FALSE,"TRIMESTRE";"empresa",#N/A,FALSE,"xEMPRESA";"eaab",#N/A,FALSE,"EAAB";"epma",#N/A,FALSE,"EPMA";"emca",#N/A,FALSE,"EMCA"}</definedName>
    <definedName name="wrn.TODOS." localSheetId="2"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1" hidden="1">{"trimestre",#N/A,FALSE,"TRIMESTRE"}</definedName>
    <definedName name="wrn.trimestre." localSheetId="2" hidden="1">{"trimestre",#N/A,FALSE,"TRIMESTRE"}</definedName>
    <definedName name="wrn.trimestre." hidden="1">{"trimestre",#N/A,FALSE,"TRIMESTRE"}</definedName>
    <definedName name="wrn.xempresa." localSheetId="1" hidden="1">{"empresa",#N/A,FALSE,"xEMPRESA"}</definedName>
    <definedName name="wrn.xempresa." localSheetId="2" hidden="1">{"empresa",#N/A,FALSE,"xEMPRESA"}</definedName>
    <definedName name="wrn.xempresa." hidden="1">{"empresa",#N/A,FALSE,"xEMPRESA"}</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145" i="14" l="1"/>
  <c r="BO145" i="14"/>
  <c r="BK145" i="14"/>
  <c r="BG145" i="14"/>
  <c r="BC145" i="14"/>
  <c r="AY145" i="14"/>
  <c r="AU145" i="14"/>
  <c r="AQ145" i="14"/>
  <c r="BW159" i="14"/>
  <c r="AU84" i="14"/>
  <c r="AQ84" i="14"/>
  <c r="BO49" i="14" l="1"/>
  <c r="BS49" i="14" s="1"/>
  <c r="BK49" i="14"/>
  <c r="BG49" i="14"/>
  <c r="BC49" i="14"/>
  <c r="AY49" i="14"/>
  <c r="AU49" i="14"/>
  <c r="AM49" i="14"/>
  <c r="AQ49" i="14"/>
  <c r="BW21" i="14"/>
  <c r="BW22" i="14"/>
  <c r="BW23" i="14"/>
  <c r="BW24" i="14"/>
  <c r="BW26" i="14"/>
  <c r="BW27" i="14"/>
  <c r="BW28" i="14"/>
  <c r="BW29" i="14"/>
  <c r="BW30" i="14"/>
  <c r="BW31" i="14"/>
  <c r="BW32" i="14"/>
  <c r="BW33" i="14"/>
  <c r="BW34" i="14"/>
  <c r="BW35" i="14"/>
  <c r="BW36" i="14"/>
  <c r="BW37" i="14"/>
  <c r="BW38" i="14"/>
  <c r="BW39" i="14"/>
  <c r="BW40" i="14"/>
  <c r="BW41" i="14"/>
  <c r="BW42" i="14"/>
  <c r="BW43" i="14"/>
  <c r="BW44" i="14"/>
  <c r="BW45" i="14"/>
  <c r="BW46" i="14"/>
  <c r="BW48" i="14"/>
  <c r="BW50" i="14"/>
  <c r="BW51" i="14"/>
  <c r="BW52" i="14"/>
  <c r="BW54" i="14"/>
  <c r="BW55" i="14"/>
  <c r="BW56" i="14"/>
  <c r="BW58" i="14"/>
  <c r="BW60" i="14"/>
  <c r="BW61" i="14"/>
  <c r="BW62" i="14"/>
  <c r="BW63" i="14"/>
  <c r="BW64" i="14"/>
  <c r="BW65" i="14"/>
  <c r="BW66" i="14"/>
  <c r="BW69" i="14"/>
  <c r="BW71" i="14"/>
  <c r="BW73" i="14"/>
  <c r="BW74" i="14"/>
  <c r="BW75" i="14"/>
  <c r="BW76" i="14"/>
  <c r="BW78" i="14"/>
  <c r="BW81" i="14"/>
  <c r="BW83" i="14"/>
  <c r="BW84" i="14"/>
  <c r="BW86" i="14"/>
  <c r="BW87" i="14"/>
  <c r="BW88" i="14"/>
  <c r="BW89" i="14"/>
  <c r="BW94" i="14"/>
  <c r="BW95" i="14"/>
  <c r="BW96" i="14"/>
  <c r="BW97" i="14"/>
  <c r="BW98" i="14"/>
  <c r="BW99" i="14"/>
  <c r="BW100" i="14"/>
  <c r="BW101" i="14"/>
  <c r="BW102" i="14"/>
  <c r="BW103" i="14"/>
  <c r="BW104" i="14"/>
  <c r="BW105" i="14"/>
  <c r="BW106" i="14"/>
  <c r="BW108" i="14"/>
  <c r="BW109" i="14"/>
  <c r="BW110" i="14"/>
  <c r="BW111" i="14"/>
  <c r="BW112" i="14"/>
  <c r="BW113" i="14"/>
  <c r="BW114" i="14"/>
  <c r="BW115" i="14"/>
  <c r="BW116" i="14"/>
  <c r="BW117" i="14"/>
  <c r="BW118" i="14"/>
  <c r="BW119" i="14"/>
  <c r="BW120" i="14"/>
  <c r="BW121" i="14"/>
  <c r="BW122" i="14"/>
  <c r="BW124" i="14"/>
  <c r="BW125" i="14"/>
  <c r="BW126" i="14"/>
  <c r="BW127" i="14"/>
  <c r="BW128" i="14"/>
  <c r="BW129" i="14"/>
  <c r="BW130" i="14"/>
  <c r="BW131" i="14"/>
  <c r="BW132" i="14"/>
  <c r="BW133" i="14"/>
  <c r="BW134" i="14"/>
  <c r="BW135" i="14"/>
  <c r="BW136" i="14"/>
  <c r="BW137" i="14"/>
  <c r="BW138" i="14"/>
  <c r="BW139" i="14"/>
  <c r="BW140" i="14"/>
  <c r="BW141" i="14"/>
  <c r="BW142" i="14"/>
  <c r="BW143" i="14"/>
  <c r="BW144" i="14"/>
  <c r="BW145" i="14"/>
  <c r="BW146" i="14"/>
  <c r="BW147" i="14"/>
  <c r="BW148" i="14"/>
  <c r="BW150" i="14"/>
  <c r="BW151" i="14"/>
  <c r="BW152" i="14"/>
  <c r="BW153" i="14"/>
  <c r="BW154" i="14"/>
  <c r="BW155" i="14"/>
  <c r="BW156" i="14"/>
  <c r="BW157" i="14"/>
  <c r="BW158" i="14"/>
  <c r="BW160" i="14"/>
  <c r="BW161" i="14"/>
  <c r="BW162" i="14"/>
  <c r="BW163" i="14"/>
  <c r="BW164" i="14"/>
  <c r="BW166" i="14"/>
  <c r="BW169" i="14"/>
  <c r="BW171" i="14"/>
  <c r="BW172" i="14"/>
  <c r="BW175" i="14"/>
  <c r="BW177" i="14"/>
  <c r="BW178" i="14"/>
  <c r="BW179" i="14"/>
  <c r="BW180" i="14"/>
  <c r="BW182" i="14"/>
  <c r="BW183" i="14"/>
  <c r="BW184" i="14"/>
  <c r="BW185" i="14"/>
  <c r="BW186" i="14"/>
  <c r="BW187" i="14"/>
  <c r="BW188" i="14"/>
  <c r="BW190" i="14"/>
  <c r="BW191" i="14"/>
  <c r="BW192" i="14"/>
  <c r="BW193" i="14"/>
  <c r="BW194" i="14"/>
  <c r="BW195" i="14"/>
  <c r="BW196" i="14"/>
  <c r="BW198" i="14"/>
  <c r="BW199" i="14"/>
  <c r="BW202" i="14"/>
  <c r="BW203" i="14"/>
  <c r="BW204" i="14"/>
  <c r="BW205" i="14"/>
  <c r="BW206" i="14"/>
  <c r="BW207" i="14"/>
  <c r="BW208" i="14"/>
  <c r="BW209" i="14"/>
  <c r="BW210" i="14"/>
  <c r="BW211" i="14"/>
  <c r="BW213" i="14"/>
  <c r="BW214" i="14"/>
  <c r="BW217" i="14"/>
  <c r="BW219" i="14"/>
  <c r="BW220" i="14"/>
  <c r="AL23" i="14" l="1"/>
  <c r="AL163" i="14"/>
  <c r="AL144" i="14"/>
  <c r="AL146" i="14" l="1"/>
  <c r="T93" i="14" l="1"/>
  <c r="U93" i="14" s="1"/>
  <c r="V93" i="14" s="1"/>
  <c r="W93" i="14" s="1"/>
  <c r="X93" i="14" s="1"/>
  <c r="Y93" i="14" s="1"/>
  <c r="Z93" i="14" s="1"/>
  <c r="AB93" i="14" s="1"/>
  <c r="T92" i="14"/>
  <c r="U92" i="14" s="1"/>
  <c r="V92" i="14" s="1"/>
  <c r="W92" i="14" s="1"/>
  <c r="X92" i="14" s="1"/>
  <c r="Y92" i="14" s="1"/>
  <c r="Z92" i="14" s="1"/>
  <c r="AB92" i="14" s="1"/>
  <c r="AM72" i="14" l="1"/>
  <c r="AL72" i="14"/>
  <c r="AL11" i="14" l="1"/>
  <c r="AL210" i="14" l="1"/>
  <c r="AL40" i="14" l="1"/>
  <c r="AL220" i="14" l="1"/>
  <c r="AL219" i="14"/>
  <c r="AL217" i="14"/>
  <c r="AL216" i="14"/>
  <c r="AL215" i="14"/>
  <c r="AL213" i="14"/>
  <c r="AL212" i="14"/>
  <c r="AL211" i="14"/>
  <c r="AL209" i="14"/>
  <c r="AL208" i="14"/>
  <c r="AL207" i="14"/>
  <c r="AL206" i="14"/>
  <c r="AL205" i="14"/>
  <c r="AL204" i="14"/>
  <c r="AL203" i="14"/>
  <c r="AL202" i="14"/>
  <c r="AL201" i="14"/>
  <c r="AL199" i="14"/>
  <c r="AL198" i="14"/>
  <c r="AL197" i="14"/>
  <c r="AL196" i="14"/>
  <c r="AL195" i="14"/>
  <c r="AL194" i="14"/>
  <c r="AL193" i="14"/>
  <c r="AL192" i="14"/>
  <c r="AL191" i="14"/>
  <c r="AL190" i="14"/>
  <c r="AL189" i="14"/>
  <c r="AL188" i="14"/>
  <c r="AL187" i="14"/>
  <c r="AL186" i="14"/>
  <c r="AL185" i="14"/>
  <c r="AL184" i="14"/>
  <c r="AL183" i="14"/>
  <c r="AL182" i="14"/>
  <c r="AL181" i="14"/>
  <c r="AL180" i="14"/>
  <c r="AL179" i="14"/>
  <c r="AL178" i="14"/>
  <c r="AL177" i="14"/>
  <c r="AL176" i="14"/>
  <c r="AL175" i="14"/>
  <c r="AL174" i="14"/>
  <c r="AL173" i="14"/>
  <c r="AL172" i="14"/>
  <c r="AL171" i="14"/>
  <c r="AL170" i="14"/>
  <c r="AL169" i="14"/>
  <c r="AL168" i="14"/>
  <c r="AL167" i="14"/>
  <c r="AL166" i="14"/>
  <c r="AL165" i="14"/>
  <c r="AL164" i="14"/>
  <c r="AL162" i="14"/>
  <c r="AL161" i="14"/>
  <c r="AL158" i="14"/>
  <c r="AL157" i="14"/>
  <c r="AL156" i="14"/>
  <c r="AL154" i="14"/>
  <c r="AL153" i="14"/>
  <c r="AL152" i="14"/>
  <c r="AL151" i="14"/>
  <c r="AL150" i="14"/>
  <c r="AL149" i="14"/>
  <c r="AL148" i="14"/>
  <c r="AL147" i="14"/>
  <c r="AL145" i="14"/>
  <c r="AL143" i="14"/>
  <c r="AL142" i="14"/>
  <c r="AL141" i="14"/>
  <c r="AL140" i="14"/>
  <c r="AL138" i="14"/>
  <c r="AL137" i="14"/>
  <c r="AL136" i="14"/>
  <c r="AL135" i="14"/>
  <c r="AL134" i="14"/>
  <c r="AL133" i="14"/>
  <c r="AL132" i="14"/>
  <c r="AL131" i="14"/>
  <c r="AL130" i="14"/>
  <c r="AL129" i="14"/>
  <c r="AL128" i="14"/>
  <c r="AL127" i="14"/>
  <c r="AL126" i="14"/>
  <c r="AL125" i="14"/>
  <c r="AL124" i="14"/>
  <c r="AL123" i="14"/>
  <c r="AL122" i="14"/>
  <c r="AL121" i="14"/>
  <c r="AL120" i="14"/>
  <c r="AL119" i="14"/>
  <c r="AL118" i="14"/>
  <c r="AL117" i="14"/>
  <c r="AL116" i="14"/>
  <c r="AL115" i="14"/>
  <c r="AL114" i="14"/>
  <c r="AL113" i="14"/>
  <c r="AL112" i="14"/>
  <c r="AL111" i="14"/>
  <c r="AL110" i="14"/>
  <c r="AL109" i="14"/>
  <c r="AL108" i="14"/>
  <c r="AL107" i="14"/>
  <c r="AL106" i="14"/>
  <c r="AL105" i="14"/>
  <c r="AL104" i="14"/>
  <c r="AL103" i="14"/>
  <c r="AL102" i="14"/>
  <c r="AL101" i="14"/>
  <c r="AL100" i="14"/>
  <c r="AL99" i="14"/>
  <c r="AL98" i="14"/>
  <c r="AL97" i="14"/>
  <c r="AL96" i="14"/>
  <c r="AL95" i="14"/>
  <c r="AL94" i="14"/>
  <c r="AL91" i="14"/>
  <c r="AL90" i="14"/>
  <c r="AL89" i="14"/>
  <c r="AL88" i="14"/>
  <c r="AL87" i="14"/>
  <c r="AL86" i="14"/>
  <c r="AL85" i="14"/>
  <c r="AL84" i="14"/>
  <c r="AL83" i="14"/>
  <c r="AL82" i="14"/>
  <c r="AL81" i="14"/>
  <c r="AL80" i="14"/>
  <c r="AL79" i="14"/>
  <c r="AL78" i="14"/>
  <c r="AL76" i="14"/>
  <c r="AL75" i="14"/>
  <c r="AL74" i="14"/>
  <c r="AL73" i="14"/>
  <c r="AL71" i="14"/>
  <c r="AL70" i="14"/>
  <c r="AL69" i="14"/>
  <c r="AL68" i="14"/>
  <c r="AL67" i="14"/>
  <c r="AL66" i="14"/>
  <c r="AL65" i="14"/>
  <c r="AL64" i="14"/>
  <c r="AL63" i="14"/>
  <c r="AL62" i="14"/>
  <c r="AL61" i="14"/>
  <c r="AL60" i="14"/>
  <c r="AL59" i="14"/>
  <c r="AL58" i="14"/>
  <c r="AL57" i="14"/>
  <c r="AL56" i="14"/>
  <c r="AL55" i="14"/>
  <c r="AL54" i="14"/>
  <c r="AL52" i="14"/>
  <c r="AL50" i="14"/>
  <c r="AL49" i="14"/>
  <c r="AL48" i="14"/>
  <c r="AL47" i="14"/>
  <c r="AL46" i="14"/>
  <c r="AL45" i="14"/>
  <c r="AL44" i="14"/>
  <c r="AL43" i="14"/>
  <c r="AL42" i="14"/>
  <c r="AL41" i="14"/>
  <c r="AL39" i="14"/>
  <c r="AL38" i="14"/>
  <c r="AL37" i="14"/>
  <c r="AL36" i="14"/>
  <c r="AL35" i="14"/>
  <c r="AL34" i="14"/>
  <c r="AL31" i="14"/>
  <c r="AL30" i="14"/>
  <c r="AL29" i="14"/>
  <c r="AL28" i="14"/>
  <c r="AL27" i="14"/>
  <c r="AL26" i="14"/>
  <c r="AL24" i="14"/>
  <c r="AL22" i="14"/>
  <c r="AL21" i="14"/>
  <c r="AL20" i="14"/>
  <c r="AL19" i="14"/>
  <c r="AL18" i="14"/>
  <c r="AL17" i="14"/>
  <c r="AL16" i="14"/>
  <c r="AL15" i="14"/>
  <c r="AL14" i="14"/>
  <c r="AL13" i="14"/>
  <c r="AL12" i="14"/>
  <c r="AL10" i="14"/>
  <c r="BW20" i="14"/>
  <c r="BW19" i="14"/>
  <c r="BW18" i="14"/>
  <c r="BW17" i="14"/>
  <c r="BW16" i="14"/>
  <c r="BW15" i="14"/>
  <c r="BW14" i="14"/>
  <c r="BW13" i="14"/>
  <c r="BW12" i="14"/>
  <c r="BW11" i="14"/>
  <c r="T73" i="14"/>
  <c r="T89" i="14" l="1"/>
  <c r="U89" i="14" s="1"/>
  <c r="V89" i="14" s="1"/>
  <c r="W89" i="14" s="1"/>
  <c r="X89" i="14" s="1"/>
  <c r="Y89" i="14" s="1"/>
  <c r="Z89" i="14" s="1"/>
  <c r="AA89" i="14" s="1"/>
  <c r="AB84" i="14"/>
  <c r="BS215" i="14" l="1"/>
  <c r="BO215" i="14"/>
  <c r="BK215" i="14"/>
  <c r="BG215" i="14"/>
  <c r="BC215" i="14"/>
  <c r="AY215" i="14"/>
  <c r="AU215" i="14"/>
  <c r="AQ215" i="14"/>
  <c r="BW215" i="14" s="1"/>
  <c r="AD214" i="14"/>
  <c r="AC214" i="14"/>
  <c r="BU212" i="14"/>
  <c r="BS212" i="14"/>
  <c r="BQ212" i="14"/>
  <c r="BO212" i="14"/>
  <c r="BM212" i="14"/>
  <c r="BK212" i="14"/>
  <c r="BI212" i="14"/>
  <c r="BG212" i="14"/>
  <c r="BE212" i="14"/>
  <c r="BC212" i="14"/>
  <c r="BA212" i="14"/>
  <c r="AY212" i="14"/>
  <c r="AW212" i="14"/>
  <c r="AU212" i="14"/>
  <c r="AS212" i="14"/>
  <c r="AQ212" i="14"/>
  <c r="AO212" i="14"/>
  <c r="AM212" i="14"/>
  <c r="AQ200" i="14"/>
  <c r="AE200" i="14"/>
  <c r="AY181" i="14"/>
  <c r="AU181" i="14"/>
  <c r="AQ181" i="14"/>
  <c r="AM181" i="14"/>
  <c r="BS170" i="14"/>
  <c r="BO170" i="14"/>
  <c r="BK170" i="14"/>
  <c r="BG170" i="14"/>
  <c r="BC170" i="14"/>
  <c r="AY170" i="14"/>
  <c r="AU170" i="14"/>
  <c r="AQ170" i="14"/>
  <c r="AM170" i="14"/>
  <c r="BG174" i="14"/>
  <c r="BC174" i="14"/>
  <c r="AY174" i="14"/>
  <c r="AU174" i="14"/>
  <c r="AQ174" i="14"/>
  <c r="BW174" i="14" s="1"/>
  <c r="BS173" i="14"/>
  <c r="BO173" i="14"/>
  <c r="BK173" i="14"/>
  <c r="BG173" i="14"/>
  <c r="BC173" i="14"/>
  <c r="AY173" i="14"/>
  <c r="AU173" i="14"/>
  <c r="AQ173" i="14"/>
  <c r="BW173" i="14" s="1"/>
  <c r="BS85" i="14"/>
  <c r="BO85" i="14"/>
  <c r="BK85" i="14"/>
  <c r="BG85" i="14"/>
  <c r="BC85" i="14"/>
  <c r="AY85" i="14"/>
  <c r="AU85" i="14"/>
  <c r="AQ85" i="14"/>
  <c r="AM85" i="14"/>
  <c r="AU80" i="14"/>
  <c r="AQ80" i="14"/>
  <c r="AM80" i="14"/>
  <c r="AU79" i="14"/>
  <c r="AQ79" i="14"/>
  <c r="AM79" i="14"/>
  <c r="BS77" i="14"/>
  <c r="BO77" i="14"/>
  <c r="BK77" i="14"/>
  <c r="BG77" i="14"/>
  <c r="BC77" i="14"/>
  <c r="AY77" i="14"/>
  <c r="AQ77" i="14"/>
  <c r="AM77" i="14"/>
  <c r="AE77" i="14"/>
  <c r="S77" i="14"/>
  <c r="T77" i="14" s="1"/>
  <c r="U77" i="14" s="1"/>
  <c r="V77" i="14" s="1"/>
  <c r="W77" i="14" s="1"/>
  <c r="X77" i="14" s="1"/>
  <c r="Y77" i="14" s="1"/>
  <c r="Z77" i="14" s="1"/>
  <c r="AA77" i="14" s="1"/>
  <c r="V74" i="14"/>
  <c r="U74" i="14"/>
  <c r="T74" i="14"/>
  <c r="S74" i="14"/>
  <c r="U73" i="14"/>
  <c r="V73" i="14" s="1"/>
  <c r="AB73" i="14" s="1"/>
  <c r="AB72" i="14"/>
  <c r="BS70" i="14"/>
  <c r="BO70" i="14"/>
  <c r="BK70" i="14"/>
  <c r="BG70" i="14"/>
  <c r="BC70" i="14"/>
  <c r="AY70" i="14"/>
  <c r="AU70" i="14"/>
  <c r="AQ70" i="14"/>
  <c r="AM70" i="14"/>
  <c r="BW70" i="14" s="1"/>
  <c r="AB70" i="14"/>
  <c r="BS68" i="14"/>
  <c r="BO68" i="14"/>
  <c r="BK68" i="14"/>
  <c r="BG68" i="14"/>
  <c r="BC68" i="14"/>
  <c r="AY68" i="14"/>
  <c r="AU68" i="14"/>
  <c r="AM68" i="14"/>
  <c r="S45" i="14"/>
  <c r="T45" i="14" s="1"/>
  <c r="U45" i="14" s="1"/>
  <c r="V45" i="14" s="1"/>
  <c r="W45" i="14" s="1"/>
  <c r="X45" i="14" s="1"/>
  <c r="Y45" i="14" s="1"/>
  <c r="Z45" i="14" s="1"/>
  <c r="AA45" i="14" s="1"/>
  <c r="BS53" i="14"/>
  <c r="BO53" i="14"/>
  <c r="BK53" i="14"/>
  <c r="BG53" i="14"/>
  <c r="BC53" i="14"/>
  <c r="AY53" i="14"/>
  <c r="AQ53" i="14"/>
  <c r="AM53" i="14"/>
  <c r="AE53" i="14"/>
  <c r="AL53" i="14" s="1"/>
  <c r="S53" i="14"/>
  <c r="T53" i="14" s="1"/>
  <c r="U53" i="14" s="1"/>
  <c r="V53" i="14" s="1"/>
  <c r="W53" i="14" s="1"/>
  <c r="X53" i="14" s="1"/>
  <c r="Y53" i="14" s="1"/>
  <c r="Z53" i="14" s="1"/>
  <c r="AA53" i="14" s="1"/>
  <c r="AI33" i="14"/>
  <c r="AJ33" i="14" s="1"/>
  <c r="AD33" i="14"/>
  <c r="AI32" i="14"/>
  <c r="AJ32" i="14" s="1"/>
  <c r="AD32" i="14"/>
  <c r="AB42" i="14"/>
  <c r="S14" i="14"/>
  <c r="T14" i="14" s="1"/>
  <c r="U14" i="14" s="1"/>
  <c r="V14" i="14" s="1"/>
  <c r="AB14" i="14" s="1"/>
  <c r="BS149" i="14"/>
  <c r="BO149" i="14"/>
  <c r="BK149" i="14"/>
  <c r="BG149" i="14"/>
  <c r="BC149" i="14"/>
  <c r="AY149" i="14"/>
  <c r="AM149" i="14"/>
  <c r="BW79" i="14" l="1"/>
  <c r="BW80" i="14"/>
  <c r="BW212" i="14"/>
  <c r="BW170" i="14"/>
  <c r="BW149" i="14"/>
  <c r="BW181" i="14"/>
  <c r="BW68" i="14"/>
  <c r="BW85" i="14"/>
  <c r="AL214" i="14"/>
  <c r="AU72" i="14"/>
  <c r="AU200" i="14"/>
  <c r="AW200" i="14" s="1"/>
  <c r="AU77" i="14"/>
  <c r="BW77" i="14" s="1"/>
  <c r="AL77" i="14"/>
  <c r="AF200" i="14"/>
  <c r="AQ72" i="14"/>
  <c r="AU53" i="14"/>
  <c r="BW53" i="14" s="1"/>
  <c r="AE32" i="14"/>
  <c r="AF32" i="14" s="1"/>
  <c r="AG32" i="14" s="1"/>
  <c r="AE33" i="14"/>
  <c r="AF33" i="14" s="1"/>
  <c r="AG33" i="14" s="1"/>
  <c r="AE51" i="14"/>
  <c r="AL51" i="14" s="1"/>
  <c r="AY72" i="14" l="1"/>
  <c r="AL32" i="14"/>
  <c r="AL33" i="14"/>
  <c r="AY200" i="14"/>
  <c r="AG200" i="14"/>
  <c r="BS25" i="14"/>
  <c r="BO25" i="14"/>
  <c r="BK25" i="14"/>
  <c r="BG25" i="14"/>
  <c r="BW25" i="14" l="1"/>
  <c r="BC72" i="14"/>
  <c r="BC200" i="14"/>
  <c r="BE200" i="14" s="1"/>
  <c r="AH200" i="14"/>
  <c r="BA200" i="14"/>
  <c r="BG200" i="14" l="1"/>
  <c r="BI200" i="14" s="1"/>
  <c r="AI200" i="14"/>
  <c r="BG72" i="14" l="1"/>
  <c r="AJ200" i="14"/>
  <c r="BK200" i="14"/>
  <c r="BK72" i="14"/>
  <c r="BO167" i="14"/>
  <c r="BS167" i="14"/>
  <c r="BK167" i="14"/>
  <c r="BG167" i="14"/>
  <c r="BC167" i="14"/>
  <c r="AY167" i="14"/>
  <c r="AU167" i="14"/>
  <c r="AQ167" i="14"/>
  <c r="AQ168" i="14"/>
  <c r="BW168" i="14" s="1"/>
  <c r="BW167" i="14" l="1"/>
  <c r="BM200" i="14"/>
  <c r="AK200" i="14"/>
  <c r="BS200" i="14" s="1"/>
  <c r="BO200" i="14"/>
  <c r="BQ200" i="14" s="1"/>
  <c r="BO72" i="14"/>
  <c r="BU200" i="14" l="1"/>
  <c r="BW200" i="14" s="1"/>
  <c r="AL200" i="14"/>
  <c r="BS72" i="14"/>
  <c r="BW72" i="14" s="1"/>
  <c r="AL25" i="14"/>
  <c r="AE155" i="14" l="1"/>
  <c r="AG155" i="14" l="1"/>
  <c r="AL155" i="14" s="1"/>
  <c r="BS165" i="14" l="1"/>
  <c r="BO165" i="14"/>
  <c r="BK165" i="14"/>
  <c r="BG165" i="14"/>
  <c r="BC165" i="14"/>
  <c r="AY165" i="14"/>
  <c r="AU165" i="14"/>
  <c r="AQ165" i="14"/>
  <c r="AM165" i="14"/>
  <c r="BS57" i="14"/>
  <c r="BO57" i="14"/>
  <c r="BK57" i="14"/>
  <c r="BG57" i="14"/>
  <c r="BC57" i="14"/>
  <c r="AY57" i="14"/>
  <c r="AU57" i="14"/>
  <c r="AQ57" i="14"/>
  <c r="AM57" i="14"/>
  <c r="BW57" i="14" l="1"/>
  <c r="BW165" i="14"/>
  <c r="Q143" i="14"/>
  <c r="DL135" i="14" l="1"/>
  <c r="DJ135" i="14"/>
  <c r="DI135" i="14"/>
  <c r="DE135" i="14"/>
  <c r="DC135" i="14"/>
  <c r="DB135" i="14"/>
  <c r="CX135" i="14"/>
  <c r="CV135" i="14"/>
  <c r="CU135" i="14"/>
  <c r="CQ135" i="14"/>
  <c r="CO135" i="14"/>
  <c r="CN135" i="14"/>
  <c r="CJ135" i="14"/>
  <c r="CH135" i="14"/>
  <c r="CG135" i="14"/>
  <c r="CC135" i="14"/>
  <c r="CA135" i="14"/>
  <c r="BZ135" i="14"/>
  <c r="BS123" i="14"/>
  <c r="BO123" i="14"/>
  <c r="BK123" i="14"/>
  <c r="BG123" i="14"/>
  <c r="BC123" i="14"/>
  <c r="AY123" i="14"/>
  <c r="AU123" i="14"/>
  <c r="AQ123" i="14"/>
  <c r="DL120" i="14"/>
  <c r="DJ120" i="14"/>
  <c r="DI120" i="14"/>
  <c r="DE120" i="14"/>
  <c r="DC120" i="14"/>
  <c r="DB120" i="14"/>
  <c r="CX120" i="14"/>
  <c r="CV120" i="14"/>
  <c r="CU120" i="14"/>
  <c r="CQ120" i="14"/>
  <c r="CO120" i="14"/>
  <c r="CN120" i="14"/>
  <c r="CJ120" i="14"/>
  <c r="CH120" i="14"/>
  <c r="CG120" i="14"/>
  <c r="CC120" i="14"/>
  <c r="CA120" i="14"/>
  <c r="BZ120" i="14"/>
  <c r="BS107" i="14"/>
  <c r="BW107" i="14" s="1"/>
  <c r="DL103" i="14"/>
  <c r="DJ103" i="14"/>
  <c r="DI103" i="14"/>
  <c r="DE103" i="14"/>
  <c r="DC103" i="14"/>
  <c r="DB103" i="14"/>
  <c r="CX103" i="14"/>
  <c r="CV103" i="14"/>
  <c r="CU103" i="14"/>
  <c r="CQ103" i="14"/>
  <c r="CO103" i="14"/>
  <c r="CN103" i="14"/>
  <c r="CJ103" i="14"/>
  <c r="CH103" i="14"/>
  <c r="CG103" i="14"/>
  <c r="CC103" i="14"/>
  <c r="CA103" i="14"/>
  <c r="BZ103" i="14"/>
  <c r="T98" i="14"/>
  <c r="U98" i="14" s="1"/>
  <c r="V98" i="14" s="1"/>
  <c r="AB98" i="14" s="1"/>
  <c r="T97" i="14"/>
  <c r="U97" i="14" s="1"/>
  <c r="V97" i="14" s="1"/>
  <c r="T96" i="14"/>
  <c r="U96" i="14" s="1"/>
  <c r="V96" i="14" s="1"/>
  <c r="AB96" i="14" s="1"/>
  <c r="BS91" i="14"/>
  <c r="BO91" i="14"/>
  <c r="BK91" i="14"/>
  <c r="BG91" i="14"/>
  <c r="BC91" i="14"/>
  <c r="AY91" i="14"/>
  <c r="BO93" i="14"/>
  <c r="BK93" i="14"/>
  <c r="BG93" i="14"/>
  <c r="BC93" i="14"/>
  <c r="AY93" i="14"/>
  <c r="AU93" i="14"/>
  <c r="AQ93" i="14"/>
  <c r="AM93" i="14"/>
  <c r="BO92" i="14"/>
  <c r="BK92" i="14"/>
  <c r="BG92" i="14"/>
  <c r="BC92" i="14"/>
  <c r="AY92" i="14"/>
  <c r="AU92" i="14"/>
  <c r="AQ92" i="14"/>
  <c r="AM92" i="14"/>
  <c r="AL92" i="14"/>
  <c r="BS90" i="14"/>
  <c r="BO90" i="14"/>
  <c r="BK90" i="14"/>
  <c r="BG90" i="14"/>
  <c r="BC90" i="14"/>
  <c r="AY90" i="14"/>
  <c r="BS82" i="14"/>
  <c r="BO82" i="14"/>
  <c r="BK82" i="14"/>
  <c r="BG82" i="14"/>
  <c r="BC82" i="14"/>
  <c r="AB82" i="14"/>
  <c r="DL67" i="14"/>
  <c r="DJ67" i="14"/>
  <c r="DI67" i="14"/>
  <c r="DE67" i="14"/>
  <c r="DC67" i="14"/>
  <c r="DB67" i="14"/>
  <c r="CX67" i="14"/>
  <c r="CV67" i="14"/>
  <c r="CU67" i="14"/>
  <c r="CQ67" i="14"/>
  <c r="CO67" i="14"/>
  <c r="CN67" i="14"/>
  <c r="CJ67" i="14"/>
  <c r="CH67" i="14"/>
  <c r="CG67" i="14"/>
  <c r="CC67" i="14"/>
  <c r="CA67" i="14"/>
  <c r="BZ67" i="14"/>
  <c r="BS67" i="14"/>
  <c r="BO67" i="14"/>
  <c r="BK67" i="14"/>
  <c r="BG67" i="14"/>
  <c r="BC67" i="14"/>
  <c r="AY67" i="14"/>
  <c r="AU67" i="14"/>
  <c r="AQ67" i="14"/>
  <c r="AM67" i="14"/>
  <c r="AM59" i="14"/>
  <c r="BW59" i="14" s="1"/>
  <c r="BW49" i="14"/>
  <c r="AY47" i="14"/>
  <c r="AU47" i="14"/>
  <c r="AQ47" i="14"/>
  <c r="AY218" i="14"/>
  <c r="AU218" i="14"/>
  <c r="AF218" i="14"/>
  <c r="AE218" i="14"/>
  <c r="AQ216" i="14"/>
  <c r="BW216" i="14" s="1"/>
  <c r="AU197" i="14"/>
  <c r="AQ197" i="14"/>
  <c r="BS189" i="14"/>
  <c r="BO189" i="14"/>
  <c r="BK189" i="14"/>
  <c r="BG189" i="14"/>
  <c r="BC189" i="14"/>
  <c r="AY189" i="14"/>
  <c r="BW10" i="14"/>
  <c r="BZ104" i="14"/>
  <c r="CA104" i="14"/>
  <c r="CC104" i="14"/>
  <c r="CG104" i="14"/>
  <c r="CH104" i="14"/>
  <c r="CJ104" i="14"/>
  <c r="CN104" i="14"/>
  <c r="CO104" i="14"/>
  <c r="CQ104" i="14"/>
  <c r="CU104" i="14"/>
  <c r="CV104" i="14"/>
  <c r="CX104" i="14"/>
  <c r="DB104" i="14"/>
  <c r="DC104" i="14"/>
  <c r="DE104" i="14"/>
  <c r="DI104" i="14"/>
  <c r="DJ104" i="14"/>
  <c r="DL104" i="14"/>
  <c r="BW189" i="14" l="1"/>
  <c r="BW91" i="14"/>
  <c r="BW218" i="14"/>
  <c r="BW90" i="14"/>
  <c r="BW67" i="14"/>
  <c r="BW92" i="14"/>
  <c r="BW47" i="14"/>
  <c r="BW93" i="14"/>
  <c r="BW197" i="14"/>
  <c r="BW82" i="14"/>
  <c r="BW123" i="14"/>
  <c r="AL218" i="14"/>
  <c r="AL93" i="14"/>
  <c r="DL10" i="14" l="1"/>
  <c r="DJ10" i="14"/>
  <c r="DI10" i="14"/>
  <c r="DE10" i="14"/>
  <c r="DC10" i="14"/>
  <c r="DB10" i="14"/>
  <c r="CX10" i="14"/>
  <c r="CV10" i="14"/>
  <c r="CU10" i="14"/>
  <c r="CQ10" i="14"/>
  <c r="CO10" i="14"/>
  <c r="CN10" i="14"/>
  <c r="CJ10" i="14"/>
  <c r="CH10" i="14"/>
  <c r="CG10" i="14"/>
  <c r="CC10" i="14"/>
  <c r="CA10" i="14"/>
  <c r="BZ10" i="14"/>
  <c r="DJ192" i="14"/>
  <c r="CV192" i="14"/>
  <c r="CO192" i="14"/>
  <c r="DL192" i="14"/>
  <c r="DE192" i="14"/>
  <c r="CX192" i="14"/>
  <c r="CQ192" i="14"/>
  <c r="CJ192" i="14"/>
  <c r="CC192" i="14"/>
  <c r="DI192" i="14"/>
  <c r="DB192" i="14"/>
  <c r="DK222" i="14"/>
  <c r="DD222" i="14"/>
  <c r="DC192" i="14"/>
  <c r="CW222" i="14"/>
  <c r="CU192" i="14"/>
  <c r="CP222" i="14"/>
  <c r="CN192" i="14"/>
  <c r="CI222" i="14"/>
  <c r="CH192" i="14"/>
  <c r="CG192" i="14"/>
  <c r="CB222" i="14"/>
  <c r="BZ192" i="14"/>
  <c r="CA192" i="14"/>
  <c r="D56" i="17"/>
  <c r="D55" i="17"/>
  <c r="D54" i="17"/>
  <c r="D53" i="17"/>
  <c r="D52" i="17"/>
  <c r="D51" i="17"/>
  <c r="D50" i="17"/>
  <c r="D49" i="17"/>
  <c r="D48" i="17"/>
  <c r="D47" i="17"/>
  <c r="D46" i="17"/>
  <c r="D45" i="17"/>
  <c r="D44" i="17"/>
  <c r="D43" i="17"/>
  <c r="D42" i="17"/>
  <c r="D41" i="17"/>
  <c r="D40" i="17"/>
  <c r="AD221" i="14" l="1"/>
  <c r="AC221" i="14"/>
  <c r="AU221" i="14"/>
  <c r="CY103" i="14"/>
  <c r="CS103" i="14"/>
  <c r="DF135" i="14"/>
  <c r="CK135" i="14"/>
  <c r="CY135" i="14"/>
  <c r="DM135" i="14"/>
  <c r="DF103" i="14"/>
  <c r="DG135" i="14"/>
  <c r="CS135" i="14"/>
  <c r="CZ103" i="14"/>
  <c r="CE135" i="14"/>
  <c r="CD103" i="14"/>
  <c r="DM103" i="14"/>
  <c r="DN135" i="14"/>
  <c r="DN103" i="14"/>
  <c r="CL135" i="14"/>
  <c r="CK103" i="14"/>
  <c r="CL103" i="14"/>
  <c r="CR135" i="14"/>
  <c r="CR103" i="14"/>
  <c r="CZ135" i="14"/>
  <c r="DG103" i="14"/>
  <c r="CE103" i="14"/>
  <c r="AQ221" i="14"/>
  <c r="CD10" i="14"/>
  <c r="CR10" i="14"/>
  <c r="CL192" i="14"/>
  <c r="DF10" i="14"/>
  <c r="CZ10" i="14"/>
  <c r="CS10" i="14"/>
  <c r="CE10" i="14"/>
  <c r="CS192" i="14"/>
  <c r="CZ192" i="14"/>
  <c r="DN192" i="14"/>
  <c r="DN10" i="14"/>
  <c r="CK10" i="14"/>
  <c r="CL10" i="14"/>
  <c r="DM192" i="14"/>
  <c r="CR192" i="14"/>
  <c r="CY192" i="14"/>
  <c r="DG192" i="14"/>
  <c r="DF192" i="14"/>
  <c r="CY10" i="14"/>
  <c r="CD192" i="14"/>
  <c r="CK192" i="14"/>
  <c r="CE192" i="14"/>
  <c r="DM10" i="14"/>
  <c r="DG10" i="14"/>
  <c r="AQ222" i="14" l="1"/>
  <c r="AM221" i="14"/>
  <c r="AM222" i="14" s="1"/>
  <c r="AE221" i="14"/>
  <c r="AU222" i="14" s="1"/>
  <c r="CQ222" i="14"/>
  <c r="CX222" i="14"/>
  <c r="CZ222" i="14"/>
  <c r="DF222" i="14"/>
  <c r="CR222" i="14"/>
  <c r="CS222" i="14"/>
  <c r="DG222" i="14"/>
  <c r="DM222" i="14"/>
  <c r="DN222" i="14"/>
  <c r="CY222" i="14"/>
  <c r="CL222" i="14"/>
  <c r="CK222" i="14"/>
  <c r="CE222" i="14"/>
  <c r="CD222" i="14"/>
  <c r="AF221" i="14" l="1"/>
  <c r="CJ222" i="14"/>
  <c r="CC222" i="14"/>
  <c r="AY221" i="14"/>
  <c r="AY222" i="14" l="1"/>
  <c r="BC221" i="14"/>
  <c r="AG221" i="14"/>
  <c r="AH221" i="14"/>
  <c r="AI221" i="14" l="1"/>
  <c r="BG221" i="14"/>
  <c r="BG222" i="14" s="1"/>
  <c r="BC222" i="14"/>
  <c r="BK221" i="14" l="1"/>
  <c r="BK222" i="14" s="1"/>
  <c r="AJ221" i="14"/>
  <c r="BO221" i="14" l="1"/>
  <c r="BO222" i="14" s="1"/>
  <c r="AL221" i="14"/>
  <c r="AK221" i="14"/>
  <c r="BW221" i="14"/>
  <c r="BW222" i="14" l="1"/>
  <c r="BS221" i="14"/>
  <c r="BS222" i="14" s="1"/>
  <c r="DE222" i="14" l="1"/>
  <c r="DL222" i="14"/>
</calcChain>
</file>

<file path=xl/sharedStrings.xml><?xml version="1.0" encoding="utf-8"?>
<sst xmlns="http://schemas.openxmlformats.org/spreadsheetml/2006/main" count="4409" uniqueCount="1455">
  <si>
    <t>Título del documento:</t>
  </si>
  <si>
    <t>Documento CONPES No:</t>
  </si>
  <si>
    <t>Fecha de aprobación:</t>
  </si>
  <si>
    <t>Fecha de actualización:</t>
  </si>
  <si>
    <t>Dirección Técnica o grupo responsable en DNP:</t>
  </si>
  <si>
    <t xml:space="preserve">DDS </t>
  </si>
  <si>
    <t>Entidades líderes:</t>
  </si>
  <si>
    <t>Departamento Nacional de Planeación; Departamento Administrativo de la Presidencia de la República; Departamento Administrativo para la Prosperidad Social; Ministerio del Interior; Ministerio de Justicia y del Derecho; Ministerio de Salud y Protección Social; Ministerio de Trabajo; Ministro de Comercio, Industria y Turismo; Ministerio de Educación Nacional; Ministerio de Ambiente y Desarrollo Sostenible; Ministerio de Tecnologías de la Información y las Comunicaciones; Ministerio del Deporte
Ministerio de Vivienda, Ciudad y Territorio; Ministerio de Minas y Energía; Ministerio de Ciencia, Tecnología e Información; Ministerio de Defensa Nacional</t>
  </si>
  <si>
    <t>Objetivo general:</t>
  </si>
  <si>
    <t>Generar las condiciones que le permitan al país avanzar hacia la equidad de género y a la garantía de los derechos económicos, sociales, culturales, de participación y de salud de las mujeres, así como la posibilidad de vivir una vida libre de violencias de género, contemplando un horizonte hasta el 2030.</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</si>
  <si>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</si>
  <si>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</si>
  <si>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</si>
  <si>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</si>
  <si>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</si>
  <si>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</si>
  <si>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</si>
  <si>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</si>
  <si>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</si>
  <si>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</si>
  <si>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</si>
  <si>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</si>
  <si>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Corte No. 01:
MM/AAAA</t>
  </si>
  <si>
    <t>Corte No. 02:
MM/AAAA</t>
  </si>
  <si>
    <t>Corte No. 03:
MM/AAAA</t>
  </si>
  <si>
    <t>Corte No. 04:
MM/AAAA</t>
  </si>
  <si>
    <t>Corte No. 05:
MM/AAAA</t>
  </si>
  <si>
    <t>Corte No. 06:
MM/AAAA</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</si>
  <si>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</si>
  <si>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</si>
  <si>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</si>
  <si>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</si>
  <si>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</si>
  <si>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</si>
  <si>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</si>
  <si>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</si>
  <si>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</si>
  <si>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</si>
  <si>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</si>
  <si>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2022</t>
  </si>
  <si>
    <t>Meta
2023</t>
  </si>
  <si>
    <t>Meta
2024</t>
  </si>
  <si>
    <t>Meta
2025</t>
  </si>
  <si>
    <t>Meta
2026</t>
  </si>
  <si>
    <t>Meta
2027</t>
  </si>
  <si>
    <t>Meta
2028</t>
  </si>
  <si>
    <t>Meta
2029</t>
  </si>
  <si>
    <t>Meta
2030</t>
  </si>
  <si>
    <t>Meta
final</t>
  </si>
  <si>
    <t>Costo
2022</t>
  </si>
  <si>
    <t>Costo
2023</t>
  </si>
  <si>
    <t>Costo
2024</t>
  </si>
  <si>
    <t>Costo
2025</t>
  </si>
  <si>
    <t>Costo
2026</t>
  </si>
  <si>
    <t>Costo
2027</t>
  </si>
  <si>
    <t>Costo
2028</t>
  </si>
  <si>
    <t>Costo
2029</t>
  </si>
  <si>
    <t>Costo
2030</t>
  </si>
  <si>
    <t>Total</t>
  </si>
  <si>
    <t>Indicador</t>
  </si>
  <si>
    <t>Recursos</t>
  </si>
  <si>
    <t>% de cumplimiento de los objetivos con respecto a metas anuales</t>
  </si>
  <si>
    <t>% de cumplimiento de los objetivos con respecto a metas finales</t>
  </si>
  <si>
    <t>Valor</t>
  </si>
  <si>
    <t>Fecha</t>
  </si>
  <si>
    <t>Recursos 1</t>
  </si>
  <si>
    <t>Fuente 1</t>
  </si>
  <si>
    <t>Recursos  2</t>
  </si>
  <si>
    <t>Fuente 2</t>
  </si>
  <si>
    <t>Avance acumulado</t>
  </si>
  <si>
    <t>% de avance metas anuales</t>
  </si>
  <si>
    <t>% de avance metas finales</t>
  </si>
  <si>
    <t xml:space="preserve">Avance </t>
  </si>
  <si>
    <t>% de avance</t>
  </si>
  <si>
    <t>Ministerio de Educación Nacional</t>
  </si>
  <si>
    <t>Subdirección de Apoyo a la Gestión de las IES</t>
  </si>
  <si>
    <t>Jenny Vargas Guataquira</t>
  </si>
  <si>
    <t>jevargas@mineducacion.gov.co</t>
  </si>
  <si>
    <t>Gestión</t>
  </si>
  <si>
    <t xml:space="preserve">Acumulado </t>
  </si>
  <si>
    <t>PGN-nación</t>
  </si>
  <si>
    <t> </t>
  </si>
  <si>
    <t>2.1</t>
  </si>
  <si>
    <t>1.2 Diseñar una estrategia que fomente el fortalecimiento de habilidades asociadas a las áreas STEAM + para niñas y adolescentes matriculadas en educación preescolar, básica y media y su interés por las mismas, teniendo en cuenta las barreras culturales.</t>
  </si>
  <si>
    <t>Claudia Milena Gomez Diaz</t>
  </si>
  <si>
    <t>cmgomez@mineducacion.gov.co</t>
  </si>
  <si>
    <t>Porcentaje de avance en el diseño e implementación de una estrategia que fomente el fortalecimiento de habilidades asociadas a las áreas STEAM + para niñas y adolescentes matriculadas en educación preescolar, básica y media y su interés por las mismas, teniendo en cuenta las barreras culturales.</t>
  </si>
  <si>
    <t>Acumulado</t>
  </si>
  <si>
    <t>PGN-nación-funcionamiento</t>
  </si>
  <si>
    <t>1.3 Incluir un componente de transformación de estereotipos de género dentro de la estrategia Alianza Escuela Familia con el objetivo de complementar las acciones orientadas a la promoción de la equidad de género desde los entornos familiares.</t>
  </si>
  <si>
    <t>No</t>
  </si>
  <si>
    <t xml:space="preserve">Dirección de Primera Infancia </t>
  </si>
  <si>
    <t xml:space="preserve">Jaime Vizcaíno </t>
  </si>
  <si>
    <t>jvizcaino@mineducacion.gov.co</t>
  </si>
  <si>
    <t>Porcentaje de avance en la inclusión un componente de transformación de estereotipos de género dentro de la estrategia Alianza Escuela Familia con el objetivo de complementar las acciones orientadas a la promoción de la equidad de género desde los entornos familiares.</t>
  </si>
  <si>
    <t xml:space="preserve">1.4 Diseñar e implementar una caja de herramientas de orientación sociocupacional con instrumentos que promuevan la eliminación de estereotipos de género a partir de las condiciones del contexto territorial y cultural </t>
  </si>
  <si>
    <t>Dirección de Calidad de la Educación Preescolar, Básica y Media</t>
  </si>
  <si>
    <t>Producto</t>
  </si>
  <si>
    <t xml:space="preserve">
Porcentaje de avance en el diseño e implementación de una caja de herramientas de orientación sociocupacional con instrumentos que promuevan la eliminación de estereotipos de género a partir de las condiciones del contexto territorial y cultural.</t>
  </si>
  <si>
    <t>Sumatoria del porcentaje de avance en el diseño e implementación de una caja de herramientas de orientación sociocupacional con instrumentos que promuevan la eliminación de estereotipos de género a partir de las condiciones del contexto territorial y cultural 
Hito 1. Documento con diseño y descripción de las actividades de acompañamiento y herramientas de orientación socio ocupacional para promuevan la eliminación de estereotipos de género a partir de las condiciones del contexto=16%.
Hito 2. Desarrollo de herramientas de orientación socio ocupacional que promuevan la eliminación de estereotipos de género a partir de las condiciones del contexto=20%.
Hito 3. Socialización a las 96 ETC de las herramientas de orientación socio ocupacional que promuevan la eliminación de estereotipos de género a partir de las condiciones del contexto Cada una pesa 0,50 %=48%.
Hito 4. Informe final que de cuenta de la implementación de las acciones de acompañamiento e implementación de herramientas de Orientación Socio Ocupacional=16%.</t>
  </si>
  <si>
    <t>1.5 Implementar un componente de transformación de los estereotipos de género dentro y fuera del aula de clase en la estrategia de formación en competencias ciudadanas y socioemocionales dirigida a directivos docentes, docentes y orientadores.</t>
  </si>
  <si>
    <t>Subdirección de Fomento de Competencias</t>
  </si>
  <si>
    <t xml:space="preserve">Claudia Molina </t>
  </si>
  <si>
    <t>cmolinar@mineducacion.gov.co</t>
  </si>
  <si>
    <t>Número directivos docentes, docentes y orientadores que participan en procesos de formación en competencias ciudadanas o socioemocionales para la transformación de estereotipos de género.</t>
  </si>
  <si>
    <t>Sumatoria del número directivos docentes, docentes y orientadores que participan en procesos de formación en competencias ciudadanas o socioemocionales para la transformación de estereotipos de género.</t>
  </si>
  <si>
    <t>1.6 Formar a las y los docentes para el desarrollo de competencias pedagógicas en el enfoque STEM + G en estudiantes de educación preescolar, básica y media</t>
  </si>
  <si>
    <t>Número de docentes que participan en procesos de formación para el desarrollo de competencias pedagógicas en el enfoque STEM + G en estudiantes de educación preescolar, básica y media.</t>
  </si>
  <si>
    <t>Sumatoria del número de docentes que participan en procesos de formación para el desarrollo de competencias pedagógicas en el enfoque STEM + G en estudiantes de educación preescolar, básica y media.</t>
  </si>
  <si>
    <t>1.7 Realizar una “certificatón” dirigida a mujeres con el fin de facilitar el acceso de esta población al servicio de certificación de competencias laborales.</t>
  </si>
  <si>
    <t>Servicio Nacional de Aprendizaje</t>
  </si>
  <si>
    <t>Dirección Sistema Nacional de Formación para el Trabajo / Grupo de Evaluación y certificación de Competencias Laborales</t>
  </si>
  <si>
    <t>Aura Yaneth Parra</t>
  </si>
  <si>
    <t>ayparra@sena.edu.co</t>
  </si>
  <si>
    <t xml:space="preserve">PGN-nación </t>
  </si>
  <si>
    <t>1.8 Fomentar la participación de la mujer en los programas de investigación, desarrollo tecnológico e innovación, buscado generar competitividad con enfoque de género.</t>
  </si>
  <si>
    <t>Diana Marina Sarmiento Parra</t>
  </si>
  <si>
    <t>dmsarmiento@sena.edu.co</t>
  </si>
  <si>
    <t>Porcentaje de avance en la diseño e implementación de una estrategia de enfoque de género que promueva la participación de la mujer en las acciones desarrolladas por SENNOVA.</t>
  </si>
  <si>
    <t>PGN-propios</t>
  </si>
  <si>
    <t>Ministerio de Ciencia, tecnología e Innovación</t>
  </si>
  <si>
    <t>Dirección de Vocaciones y Formación; Dirección de Generación de Conocimiento; Dirección de Capacidades y Divulgación</t>
  </si>
  <si>
    <t>Clara Beatriz Ocampo; Jean Rogelio Linero; Nelson Andrés Calderón</t>
  </si>
  <si>
    <t>cbocampo@minciencias.gov.co; jrlinero@minciencias.gov.co; nacalderon@minciencias.gov.co</t>
  </si>
  <si>
    <t xml:space="preserve">Porcentaje de iniciativas de investigación priorizadas en el Plan Anual de Mecanismos* que incorporan criterios para dar puntajes adicionales a mujeres investigadoras en los términos de referencia.
*:  En las que deberán incluirse aquellas dirigidas a las de apropiación social del conocimiento, vocaciones científicas en niños, niñas, adolescentes y jóvenes y en investigación-creación, proceso de registro y solicitudes de patente.
</t>
  </si>
  <si>
    <t>Flujo</t>
  </si>
  <si>
    <t>PGN-nación- funcionamiento</t>
  </si>
  <si>
    <t>1.10 Generar los mecanismos que promuevan la equidad de género en los procesos de selección de las iniciativas de vocaciones y formación en ciencia, tecnología e innovación del Ministerio de Ciencia, Tecnología e Innovación.</t>
  </si>
  <si>
    <t xml:space="preserve">Dirección de Vocaciones y Formación </t>
  </si>
  <si>
    <t>Clara Beatriz Ocampo</t>
  </si>
  <si>
    <t>cbocampo@minciencias.gov.co</t>
  </si>
  <si>
    <t>Número de iniciativas que cumplen con la equidad de género en los procesos de selección de las iniciativas de vocaciones y formación en ciencia, tecnología e innovación.</t>
  </si>
  <si>
    <t>Sumatoria del número de iniciativas que cumplen con la equidad de género en los procesos de selección de las iniciativas de vocaciones y formación en ciencia, tecnología e innovación.</t>
  </si>
  <si>
    <t>1.11 Incorporar un instrumento de seguimiento de acciones en temas de equidad de género, enfoque diferencial, étnico, entre otros, en las IES, que permita levantar un diagnóstico sobre las acciones implementadas en materia de género y así desarrollar un plan de mejoramiento para las instituciones de educación superior en estas temáticas.</t>
  </si>
  <si>
    <t>Instrumentos diseñados e incorporados.</t>
  </si>
  <si>
    <t>Número de instrumentos diseñados e incorporados en la normatividad.</t>
  </si>
  <si>
    <t xml:space="preserve">1.12 Implementar una estrategia de articulación entre entidades de Gobierno para  la ampliación del alcance de Red de Mentoras STEM. </t>
  </si>
  <si>
    <t>Departamento Administrativo de la Presidencia de la República</t>
  </si>
  <si>
    <t>Consejería Presidencial para la Equidad de la Mujer</t>
  </si>
  <si>
    <t xml:space="preserve">Gheidy Gallo Santos </t>
  </si>
  <si>
    <t>gheidygallo@presidencia.gov.co</t>
  </si>
  <si>
    <t xml:space="preserve">Porcentaje de avance en la implementación de una estrategia de articulación entre entidades de Gobierno para  la ampliación del alcance de Red de Mentoras STEM. </t>
  </si>
  <si>
    <t>1.13 Construir un lineamiento que establezca criterios para que en la convocatoria de medición de grupos e investigadores de MinCiencias se tengan en cuenta periodos mayores de evaluación de la producción científica de las mujeres para compensar los roles con dedicación a las actividades del cuidador.</t>
  </si>
  <si>
    <t>Dirección de Generación de Conocimiento</t>
  </si>
  <si>
    <t>Jean Rogelio Linero</t>
  </si>
  <si>
    <t>jrlinero@minciencias.gov.co</t>
  </si>
  <si>
    <t>Porcentaje de avance del diseño del lineamiento.</t>
  </si>
  <si>
    <t>Ministerio de Tecnologías de la Información y las Comunicaciones</t>
  </si>
  <si>
    <t>Dirección de Apropiación de TIC</t>
  </si>
  <si>
    <t>Maria Fernanda Ardila López</t>
  </si>
  <si>
    <t>mfardila@mintic.gov.co</t>
  </si>
  <si>
    <t xml:space="preserve">Mujeres, niñas y jóvenes formadas en uso y apropiación de las TIC y en el desarrollo de habilidades digitales, teniendo en consideración variables como la edad, el grupo étnico, el contexto urbano - rural, el nivel educativo y capacidades de aprendizaje diversos.  </t>
  </si>
  <si>
    <t>Departamento Nacional de Planeación</t>
  </si>
  <si>
    <t>Dirección de Economía Naranja y Desarrollo Digital</t>
  </si>
  <si>
    <t>vvanegas@dnp.gov.co</t>
  </si>
  <si>
    <t xml:space="preserve">PGN-propios- funcionamiento </t>
  </si>
  <si>
    <t>Dirección de Formación Profesional</t>
  </si>
  <si>
    <t>obermudezj@sena.edu.co</t>
  </si>
  <si>
    <t>Porcentaje de avance en el diseño e implementación de una estrategia que incentive la inscripción de mujeres en cursos asociados a tecnologías de habilidades digitales.</t>
  </si>
  <si>
    <t>Ministerio de Trabajo</t>
  </si>
  <si>
    <t>Dirección de Derechos Fundamentales del Trabajo</t>
  </si>
  <si>
    <t>Martha Lucia Sarmiento Cabadias</t>
  </si>
  <si>
    <t>msarmientoc@mintrabajo.gov.co</t>
  </si>
  <si>
    <t>Porcentaje de avance en el estudio que permita identificar posibles sesgos de género existentes en el Código Sustantivo del Trabajo.</t>
  </si>
  <si>
    <t>Sumatoria del porcentaje de avance en el estudio que permita identificar posibles sesgos de género existentes en el Código Sustantivo del Trabajo
Hito 1. Realizar un estudio que permita identificar posibles sesgos de género existentes en el Código Sustantivo del Trabajo=70%.
Hito 2. Documento que consolide las recomendaciones que sirvan a la actualización en el Código Sustantivo del Trabajo=30%.</t>
  </si>
  <si>
    <t>Dirección de Inspección, Vigilancia y Control</t>
  </si>
  <si>
    <t>Amparo Alvarez Caviedes</t>
  </si>
  <si>
    <t>aalvarezc@mintrabajo.gov.co</t>
  </si>
  <si>
    <t>Porcentaje de avance en el seguimiento a empresas en buenas practicas laborales hacia la mujer.</t>
  </si>
  <si>
    <t>Grupo Interno de Trabajo para las Víctimas y la Equidad Laboral</t>
  </si>
  <si>
    <t>Adriana Jannett Albarracin Perez</t>
  </si>
  <si>
    <t>aalbarracinp@mintrabajo.gov.co</t>
  </si>
  <si>
    <t>Porcentaje de avance en la definición e implementación de la estrategia de escalamiento de los programas de equidad laboral.</t>
  </si>
  <si>
    <t xml:space="preserve">Sumatoria del porcentaje de avance en la definición e implementación de la estrategia de escalamiento de los programa de equidad laboral
Hito 1. Definición de la Estrategia de escalamiento de los programas de equidad laboral=15%. (Borrador estrategia - II sem 2022 = 5%; Estrategia definitiva - I sem 2023 = 10%)
Hito 2. Implementación de la estrategia de escalamiento de los programas de equidad laboral=85%. (Informes de seguimiento semestral - 5% avance semestral) </t>
  </si>
  <si>
    <t>Ministerio de Trabajo; Unidad Administrativa Especial del Servicio Público de Empleo; Servicio Nacional de Aprendizaje; Departamento Nacional de Planeación</t>
  </si>
  <si>
    <t>Oscar Fabian Riomana Trigueros; Luz Adriana Arboleda Villamil; Maritza Barrera Archila; Marcela Araujo; Juanita Bernal</t>
  </si>
  <si>
    <t>oriomana@mintrabajo.gov.co; larboleda@mintrabajo.gov.co; maritza.barrera@serviciodeempleo.gov.co; maraujor@sena.edu.co; jubernal@dnp.gov.co</t>
  </si>
  <si>
    <t>Porcentaje de avance del diseño e implementación de la estrategia articulada que promueva la inserción laboral de las mujeres priorizando los sectores tradicionalmente masculinizados y otros que representen alto potencial de empleabilidad, en contextos urbanos y rurales.</t>
  </si>
  <si>
    <t>Unidad Administrativa Especial del Servicio Público de Empleo</t>
  </si>
  <si>
    <t>Subdirección de Promoción</t>
  </si>
  <si>
    <t xml:space="preserve">Maritza Barrera Archila </t>
  </si>
  <si>
    <t>maritza.barrera@serviciodeempleo.gov.co</t>
  </si>
  <si>
    <t>Porcentaje de avance en la socialización y acompañamiento a la implementación de la guía de Inclusión Laboral con Enfoque de Género efectuadas a los prestadores del Servicio Público de Empleo.</t>
  </si>
  <si>
    <t>Sumatoria del porcentaje de avance en la socialización y acompañamiento a la implementación de la guía de Inclusión Laboral con Enfoque de Género efectuadas a los prestadores del Servicio Público de Empleo
Hito 1. Analizar e identificar los prestadores del Servicio Público de Empleo que requieren la socialización de la guía de Inclusión Laboral con Enfoque de Género=10%.
Hito 2.Informes de avance en la socialización y acompañamiento de la implementación de la guía de Inclusión Laboral con Enfoque de Género a la totalidad de los prestadores identificados=90%.</t>
  </si>
  <si>
    <t>Porcentaje de avance en las socializaciones y sensibilizaciones de la estrategia de Inclusión Laboral con Enfoque de Género efectuadas a gremios económicos y potenciales empleadores priorizados.</t>
  </si>
  <si>
    <t>Sumatoria del porcentaje de avance en las socializaciones y sensibilizaciones de la estrategia de Inclusión Laboral con Enfoque de Género efectuadas a gremios económicos y potenciales empleadores priorizados
Hito 1. Identificar y priorizar los gremios económicos y potenciales empleadores para la socialización y sensibilización de la estrategia de Inclusión Laboral con Enfoque de Género=10%.
Hito 2. Informes de avance con la socialización y sensibilización frente a los potenciales empleadores y gremios económicos de la estrategia de Inclusión Laboral con Enfoque de Género=90%.</t>
  </si>
  <si>
    <t xml:space="preserve">Gheidy  Gallo Santos </t>
  </si>
  <si>
    <t xml:space="preserve"> Porcentaje de avance de ampliación de la estrategia de sensibilización y articulación para impulsar la empleabilidad de mujeres en sectores altamente masculinizados que tengan alto potencial económico, con entidades del orden nacional territorial y sector privadas.</t>
  </si>
  <si>
    <t>Sumatoria de porcentaje de avance de ampliación de la estrategia de sensibilización y articulación para impulsar la empleabilidad de mujeres en sectores altamente masculinizados que tengan alto potencial económico, con entidades del orden nacional territorial y sector privadas
Hito 1. Ampliación del alcance territorial de la estrategia=60%.
Hito 2. Difusión y sensibilización de la estrategia a diferentes sectores de la economía=40%.</t>
  </si>
  <si>
    <t>Otros</t>
  </si>
  <si>
    <t>Ministerio de Ambiente y Desarrollo Sostenible</t>
  </si>
  <si>
    <t>Dirección de Cambio Climático y Gestión del Riesgo</t>
  </si>
  <si>
    <t>Alex Jose Saer Saker</t>
  </si>
  <si>
    <t>asaer@minambiente.gov.co</t>
  </si>
  <si>
    <t>Porcentaje de avance en la integración del enfoque de género en la Estrategia de Transición Justa de la Fuerza Laboral del país.</t>
  </si>
  <si>
    <t>Sumatoria del porcentaje de avance en la integración del enfoque de género en la Estrategia de Transición Justa de la Fuerza Laboral del país
Hito 1. Construcción de lineamientos, criterios y protocolos para integrar el enfoque de género en la estrategia=40%. 
Hito 2. Diseño de la evaluación de impacto de género prospectiva de la estrategia=40%.
Hito 3. Consolidación final del documento de estrategia de transición justa que integra el enfoque de género=20%.</t>
  </si>
  <si>
    <t>Agencia Nacional de Infraestructura</t>
  </si>
  <si>
    <t>Grupo Equidad de Género</t>
  </si>
  <si>
    <t>Monica Franco Toro</t>
  </si>
  <si>
    <t>mfranco@ani.gov.co</t>
  </si>
  <si>
    <t>Porcentaje de participación de mujeres vinculadas a los nuevos proyectos de infraestructura en labores de tipo operativo.</t>
  </si>
  <si>
    <t>(Número de empleos de tipo operativo a mujeres / número total de empleos de tipo operativo del proyecto) x 100
Nota: las metas no incluyen el valor de la línea base.</t>
  </si>
  <si>
    <t>Porcentaje de participación de mujeres vinculadas a los nuevos proyectos de infraestructura en labores de tipo gerencial.</t>
  </si>
  <si>
    <t>(Número de empleos de tipo gerencial a mujeres / número total de empleos de tipo gerencial del proyecto) x 100)
Nota: las metas no incluyen el valor de la línea base.</t>
  </si>
  <si>
    <t>Ministerio de Minas y Energía</t>
  </si>
  <si>
    <t>Oficina de Asuntos Ambientales y Sociales</t>
  </si>
  <si>
    <t>Maria Paula Moreno Torres</t>
  </si>
  <si>
    <t>mpmoreno@minenergia.gov.co</t>
  </si>
  <si>
    <t>Porcentaje de avance en la consolidación de la alianza público-privada por la equidad de género.</t>
  </si>
  <si>
    <t>Sumatoria del porcentaje de avance en la consolidación de la alianza público-privada por la equidad de género
Hito 1. Conformación de alianza público-privada para la equidad de género=20%.
Hito 2. Seguimiento a la definición e implementación de un plan anual estratégico que conlleve a avanzar hacia la igualdad de oportunidades para hombres y mujeres en el sector minero-energético=80%.</t>
  </si>
  <si>
    <t>Dirección de Generación y Protección al Empleo y Subsidio Familiar</t>
  </si>
  <si>
    <t>Martha Liliana Agudelo Valencia</t>
  </si>
  <si>
    <t>magudelov@mintrabajo.gov.co</t>
  </si>
  <si>
    <t>Porcentaje de avance en la implementación de los incentivos económicos de apoyo al empleo formal para mujeres, de acuerdo con el marco legal vigente en torno a los mismos.</t>
  </si>
  <si>
    <t>Sumatoria del porcentaje de avance en la implementación de los incentivos económicos de apoyo al empleo formal para mujeres, de acuerdo con el marco legal vigente en torno a los mismos
Hito 1. Informe de las acciones de divulgación a los incentivos de apoyo al empleo formal para mujeres, como apoyo para la vinculación de las mismas al sector empresarial=40%.
Hito 2. Informes de seguimiento semestral a la implementación de los incentivos de apoyo al empleo formal para mujeres=30%.
Hito 3. Documento de recomendaciones para la extensión de los incentivos para el empleo formal de mujeres=30%.
Nota: Este documento se reporta una vez termine la vigencia de los incentivos actualmente regulados.</t>
  </si>
  <si>
    <t>Subdirección de Género</t>
  </si>
  <si>
    <t>Juanita Bernal</t>
  </si>
  <si>
    <t>jubernal@dnp.gov.co</t>
  </si>
  <si>
    <t>Número de documentos de análisis y recomendaciones  en torno a impactos de género de políticas sociales y/o política fiscal.</t>
  </si>
  <si>
    <t>Sumatoria del número de documentos de análisis y recomendaciones  en torno a impactos de género de políticas sociales y/o política fiscal.</t>
  </si>
  <si>
    <t>Agencia Nacional de Seguridad Vial</t>
  </si>
  <si>
    <t>Dirección de Comportamiento</t>
  </si>
  <si>
    <t>María Andrea Silva</t>
  </si>
  <si>
    <t>maria.silva@ansv.gov.co</t>
  </si>
  <si>
    <t>Número de articulaciones realizadas para el desarrollo de la estrategia de gestoras en movilidad segura.</t>
  </si>
  <si>
    <t>Sumatoria de articulaciones realizadas para el desarrollo de la estrategia de gestoras en movilidad segura.</t>
  </si>
  <si>
    <t>Nohora Vargas</t>
  </si>
  <si>
    <t>nohora.vargas@fondomujeremprende.com</t>
  </si>
  <si>
    <t>Ministerio de Comercio, Industria y Turismo</t>
  </si>
  <si>
    <t>Fondo Mujer Emprende</t>
  </si>
  <si>
    <t xml:space="preserve">
Gerencia de Mentalidad y Cultura
</t>
  </si>
  <si>
    <t>Adriana Salazar Santos</t>
  </si>
  <si>
    <t>adriana.salazar@innpulsacolombia.com</t>
  </si>
  <si>
    <t>Número de mujeres participantes en intervenciones e instrumentos.</t>
  </si>
  <si>
    <t>Sumatoria del número de mujeres participantes en intervenciones e instrumentos.</t>
  </si>
  <si>
    <t>Dirección de Mipymes</t>
  </si>
  <si>
    <t>sacero@mincit.gov.co</t>
  </si>
  <si>
    <t>Número de empresas de mujeres asistidas técnicamente con el programa de apoyo a la formalización empresarial.</t>
  </si>
  <si>
    <t>Sumatoria del número de empresas de mujeres asistidas técnicamente con el programa de apoyo a la formalización empresarial.</t>
  </si>
  <si>
    <t>Dirección de Análisis Sectorial y Promoción</t>
  </si>
  <si>
    <t>Beatriz Echeverry; Iván Hernández</t>
  </si>
  <si>
    <t>becheverry@mincit.gov.co; ihernandezb@mincit.gov.co</t>
  </si>
  <si>
    <t>Mujeres participantes en jornadas de formalización turística.</t>
  </si>
  <si>
    <t>Sumatoria de mujeres participantes en jornadas de formalización turística.</t>
  </si>
  <si>
    <t>Acumulada</t>
  </si>
  <si>
    <t>Unidad Administrativa Especial de Organizaciones Solidarias</t>
  </si>
  <si>
    <t>Dirección de Desarrollo</t>
  </si>
  <si>
    <t>Ehyder Mario Barbosa Pérez</t>
  </si>
  <si>
    <t>ehyder.barbosa@uaeos.gov.co</t>
  </si>
  <si>
    <t>Número de organizaciones solidarias de mujeres fomentadas.</t>
  </si>
  <si>
    <t>Sumatoria del número de organizaciones solidarias de mujeres fomentadas.</t>
  </si>
  <si>
    <t>Luisa Fernanda Martínez</t>
  </si>
  <si>
    <t>lfmartinezv@sena.edu.co</t>
  </si>
  <si>
    <t>Porcentaje de avance en el diseño e implementación de instrumentos para promover encadenamientos productivos de mujeres.</t>
  </si>
  <si>
    <t>Procolombia</t>
  </si>
  <si>
    <t>Vicepresidencia Planeación</t>
  </si>
  <si>
    <t>María Cecilia Obando</t>
  </si>
  <si>
    <t>mobando@procolombia.co</t>
  </si>
  <si>
    <t>Número de empresas de mujeres con servicios en Fábricas de Internacionalización.</t>
  </si>
  <si>
    <t>Sumatoria del número de empresas de mujeres aceptadas y/o con servicios en el programa Fabricas de Internacionalización.</t>
  </si>
  <si>
    <t>Despacho Viceministerio de Comercio Exterior</t>
  </si>
  <si>
    <t>Luz Adriana Hernández</t>
  </si>
  <si>
    <t>lhernandez@mincit.gov.co</t>
  </si>
  <si>
    <t>Número de inversionistas extranjeros que vinculen como proveedores a emprendimientos destacados.</t>
  </si>
  <si>
    <t>Superintendencia Financiera de Colombia</t>
  </si>
  <si>
    <t>Dirección de Investigación, Innovación y Desarrollo</t>
  </si>
  <si>
    <t>Juliana Lagos</t>
  </si>
  <si>
    <t>ijlagos@superfinanciera.gov.co</t>
  </si>
  <si>
    <t>Sumatoria del porcentaje de avance en la elaboración del documento sobre estudio sobre las condiciones de acceso al crédito, buscando identificar posibles diferencias entre deudores hombres y mujeres
Hito 1. Elaboración de borrador del estudio=50%.
Hito 2. Publicación del estudio sobre las condiciones de acceso al crédito en Colombia=50%.</t>
  </si>
  <si>
    <t>Dirección de Calidad y Desarrollo Sostenible del Turismo</t>
  </si>
  <si>
    <t>Derly Pardo</t>
  </si>
  <si>
    <t>dpardog@mincit.gov.co</t>
  </si>
  <si>
    <t>Número de estrategias de inclusión en formación para Niños, Niñas y Adolescentes ejecutadas.</t>
  </si>
  <si>
    <t>Sumatoria del número de estrategias de inclusión en formación para Niños, Niñas y Adolescentes ejecutadas.</t>
  </si>
  <si>
    <t xml:space="preserve"> Número de Instancias internacionales de participación del gobierno nacional en política de género.</t>
  </si>
  <si>
    <t>Sumatoria del número de Instancias internacionales de participación del gobierno nacional en política de género.</t>
  </si>
  <si>
    <t>Departamento Administrativo para la Prosperidad Social</t>
  </si>
  <si>
    <t xml:space="preserve">Dirección de Transferencias Monetarias </t>
  </si>
  <si>
    <t>Dirección de Gestión y Articulación de Oferta</t>
  </si>
  <si>
    <t>Mónica Peinado</t>
  </si>
  <si>
    <t>monica.peinado@prosperidadsocial.gov.co</t>
  </si>
  <si>
    <t xml:space="preserve">Porcentaje de servicios de oferta complementaria gestionados a mujeres para la inclusión laboral, productiva y otras ofertas que aporten a la superación de la pobreza y estén relacionadas con las temáticas de educación,  generación de ingresos, salud, vivienda y educación financiera. </t>
  </si>
  <si>
    <t>Mónica Peinado; Lida Moreno</t>
  </si>
  <si>
    <t>monica.peinado@prosperidadsocial.gov.co; lida.moreno@prosperidadsocial.gov.co</t>
  </si>
  <si>
    <t>Porcentaje de mujeres vinculadas a programas de empleabilidad.</t>
  </si>
  <si>
    <t>(Número de mujeres sujeto de atención de PS vinculadas a programas de empleabilidad/Total personas vinculadas a programas de empleabilidad) x 100</t>
  </si>
  <si>
    <t>Dirección de Inclusión Productiva</t>
  </si>
  <si>
    <t>Wilson Alonso Silva Silva</t>
  </si>
  <si>
    <t>wilson.silva@prosperidadsocial.gov.co</t>
  </si>
  <si>
    <t>Porcentaje de mujeres vinculadas a programas de emprendimiento de la Dirección de Inclusión Productiva.</t>
  </si>
  <si>
    <t>(Número de mujeres vinculadas a los programas de emprendimiento / Número de personas vinculadas a los programas de emprendimiento) x 100</t>
  </si>
  <si>
    <t>Ministerio de Vivienda, Ciudad y Territorio</t>
  </si>
  <si>
    <t>Dirección de Espacio Urbano y Territorial</t>
  </si>
  <si>
    <t>Eduardo José Arredondo</t>
  </si>
  <si>
    <t>earredondo@minvivienda.gov.co</t>
  </si>
  <si>
    <t>Porcentaje de avance en el diseño de la propuesta de lineamientos para la incorporación de la prevención de violencias y economía del cuidado en los proyectos de mejoramiento de entorno.</t>
  </si>
  <si>
    <t>Sumatoria del porcentaje de avance en diseño de la propuesta de lineamientos para la incorporación de la prevención de violencias y economía del cuidado en los proyectos de mejoramiento de entorno
Hito 1. Documento con la definición de prevención de violencias y economía del cuidado asociado al mejoramiento de entornos=30%.
Hito 2. Diseño de lineamientos de acuerdo a lo definido en el hito=30%.
Hito 3. Socialización de propuesta de lineamientos para la incorporación de la prevención de violencias y economía del cuidado en los proyectos de mejoramiento de entorno=20%.
Hito 4. Ajuste documento final con propuesta de lineamientos=20%.</t>
  </si>
  <si>
    <t>Dirección de Política y Regulación</t>
  </si>
  <si>
    <t>Hugo Alonso Bahamón Fernández</t>
  </si>
  <si>
    <t>hbahamon@minvivienda.gov.co</t>
  </si>
  <si>
    <t>Porcentaje de avance en la elaboración de lineamientos para la incorporación del enfoque de género en el sector de agua y saneamiento básico.</t>
  </si>
  <si>
    <t>&lt;</t>
  </si>
  <si>
    <t xml:space="preserve">Dirección de Inversiones en Vivienda de Interés Social </t>
  </si>
  <si>
    <t xml:space="preserve">Jackelinne Díaz Martínez </t>
  </si>
  <si>
    <t>jdiaz@minvivienda.gov.co</t>
  </si>
  <si>
    <t>Porcentaje de hogares con al menos una mujer en el núcleo familiar con SFV de adquisición asignado.</t>
  </si>
  <si>
    <t>(Número de hogares con al menos una mujer en el núcleo familiar con SFV de adquisición asignado / Número total de hogares con SFV de adquisición asignado) x 100</t>
  </si>
  <si>
    <t>Agencia Nacional de Tierras</t>
  </si>
  <si>
    <t>Dirección de Acceso a Tierras</t>
  </si>
  <si>
    <t>Jacobo Nader Ceballos</t>
  </si>
  <si>
    <t>jacobo.nader@ant.gov.co</t>
  </si>
  <si>
    <t>Porcentaje de mujeres beneficiadas con los programas de acceso y formalización de tierras, con títulos a su nombre o pareja.</t>
  </si>
  <si>
    <t>(Sumatoria de mujeres beneficiadas con título a su nombre o en pareja a través de los diferentes programas de acceso y formalización de tierras / Total de personas beneficiadas con títulos a su nombre  a través de los diferentes programas de acceso y formalización de tierras.) x 100</t>
  </si>
  <si>
    <t>Agencia de Desarrollo Rural</t>
  </si>
  <si>
    <t>Dirección de Participación y Asociatividad</t>
  </si>
  <si>
    <t>Dinorah Patricia Abadía Murillo</t>
  </si>
  <si>
    <t>patricia.abadia@adr.gov.co</t>
  </si>
  <si>
    <t>Porcentaje de mujeres productoras rurales atendidas con los servicios de fomento y fortalecimiento asociativo.</t>
  </si>
  <si>
    <t>(Número de mujeres productoras rurales atendidas mediante los servicios de fomento y fortalecimiento asociativo / Número total de productores rurales priorizados) x 100</t>
  </si>
  <si>
    <t>Porcentaje de mujeres étnicas productoras rurales identificadas con el servicio de fomento.</t>
  </si>
  <si>
    <t>(Número de mujeres productoras rurales perteneciente a etnias identificadas mediante los servicios de fomento / Número total de mujeres productoras rurales identificadas en el servicio de fomento) x 100</t>
  </si>
  <si>
    <t>Dirección de Asistencia Técnica</t>
  </si>
  <si>
    <t>Sebastian Ortiz</t>
  </si>
  <si>
    <t>sebastian.ortiz@adr.gov.co</t>
  </si>
  <si>
    <t>Corporación Colombiana de Investigación Agropecuaria</t>
  </si>
  <si>
    <t>Dirección de Planeación</t>
  </si>
  <si>
    <t>Tatiana Rivero Espitia</t>
  </si>
  <si>
    <t>trivero@agrosavia.co</t>
  </si>
  <si>
    <t>Agrosavia PGN-Funcionamiento</t>
  </si>
  <si>
    <t>Dirección de Comercialización</t>
  </si>
  <si>
    <t>Sergio Velasquez</t>
  </si>
  <si>
    <t>sergio.velasquez@adr.gov.co</t>
  </si>
  <si>
    <t>Número de mujeres rurales beneficiadas con los servicios de apoyo del Modelo de Comercialización.</t>
  </si>
  <si>
    <t>Sumatoria del número de mujeres rurales beneficiadas con los servicios de apoyo del Modelo de Comercialización.</t>
  </si>
  <si>
    <t>Vicepresidencia de Proyectos</t>
  </si>
  <si>
    <t>Ministerio de Agricultura y Desarrollo Rural</t>
  </si>
  <si>
    <t>Dirección de la Mujer Rural</t>
  </si>
  <si>
    <t>Gina Pérez Soto</t>
  </si>
  <si>
    <t>gina.perez@minagricultura.gov.co</t>
  </si>
  <si>
    <t>Oficina de negocios verdes y sostenibles</t>
  </si>
  <si>
    <t>Katia Helena Florez Sagre</t>
  </si>
  <si>
    <t>khflorezs@minambiente.gov.co</t>
  </si>
  <si>
    <t>Número de reportes sobre las asistencias técnicas dadas a iniciativas productivas en negocios verdes de mujeres rurales que cumplan con el 51% de los criterios de negocios verdes anualmente.</t>
  </si>
  <si>
    <t>Sumatoria de reportes sobre las asistencias técnicas dadas a iniciativas productivas en negocios verdes de mujeres rurales que cumplan con el 51% de los criterios de negocios verdes anualmente.</t>
  </si>
  <si>
    <t xml:space="preserve">Ministerio de Agricultura y Desarrollo Rural </t>
  </si>
  <si>
    <t>Dirección de Capacidades Productivas y Generación de Ingresos</t>
  </si>
  <si>
    <t>Sergio Enrique Ramirez Payares</t>
  </si>
  <si>
    <t>sergio.ramirez@minagricultura.gov.co</t>
  </si>
  <si>
    <t>Porcentaje</t>
  </si>
  <si>
    <t>hespinoza@sena.edu.co</t>
  </si>
  <si>
    <t>Porcentaje de avance en el diseño e  implementación de una estrategia  para el fortalecimiento de las capacidades técnicas y emprendedoras que desarrolla, enfocada en la mujer rural.</t>
  </si>
  <si>
    <t>Banco Agrario de Colombia S.A.</t>
  </si>
  <si>
    <t>Gerencia de Ventas Banca Agropecuaria; Gerencia de Ventas Banca de Microfinanzas</t>
  </si>
  <si>
    <t>Agustín Espinel; Tatiana Gutierrez</t>
  </si>
  <si>
    <t>jose.espinel@bancoagrario.gov.co; tatiana.gutierrez@bancoagrario.gov.co</t>
  </si>
  <si>
    <t>Número de operaciones de crédito a mujeres rurales y microempresarias.</t>
  </si>
  <si>
    <t>Sumatoria de número de operaciones de crédito a mujeres rurales y microempresarias.</t>
  </si>
  <si>
    <t xml:space="preserve">Dirección de Financiamiento y Riesgos Agropecuarios </t>
  </si>
  <si>
    <t xml:space="preserve">Luis Felipe Duarte </t>
  </si>
  <si>
    <t>luis.duarte@minagricultura.gov.co</t>
  </si>
  <si>
    <t>Gina Paola Pérez</t>
  </si>
  <si>
    <t>Número de mujeres rurales que culminan el curso de educación económica y financiera "Mis Finanzas Cuentan".</t>
  </si>
  <si>
    <t xml:space="preserve">Dirección de Inclusión Productiva </t>
  </si>
  <si>
    <t>Brasilia Romero</t>
  </si>
  <si>
    <t>brasilia.romero@prosperidadsocial.gov.co</t>
  </si>
  <si>
    <t>Porcentaje de mujeres titulares de hogar vinculadas a los proyectos integrales de los territorios étnicos atendidos por el programa IRACA.</t>
  </si>
  <si>
    <t>(Número de mujeres titulares de hogar vinculadas al proyecto integral del territorio étnico / Total de participantes del proyecto integral) x 100</t>
  </si>
  <si>
    <t>Instituto Colombiano Agropecuario</t>
  </si>
  <si>
    <t>Porcentaje de avance en la implementación de las variables que permitan desagregar los datos por género con base a la normatividad vigente.</t>
  </si>
  <si>
    <t>Sumatoria del porcentaje de avance en la implementación de las variables que permitan desagregar los datos por género con base a la normatividad vigente
Hito 1. Elaboración de la solicitud de viabilidad y de los casos de uso para el desarrollo de la implementación de las variables solicitadas, en cada una de las aplicaciones=20%.
Hito 2. Implementación de las variables de género en los aplicativos propuestos=50%.
Hito 3. Desarrollar el tablero de control y/o reporte de estas variables de acuerdo a los requerimientos  del MADR, como aporte a la política de equidad de género=30%.</t>
  </si>
  <si>
    <t>Dirección de Vivienda Rural</t>
  </si>
  <si>
    <t>Claudia Santos</t>
  </si>
  <si>
    <t>csantos@minvivienda.gov.co</t>
  </si>
  <si>
    <t>Número de subsidios de viviendas rurales nuevas entregados a mujeres.</t>
  </si>
  <si>
    <t>Sumatoria del número de subsidios de viviendas rurales nuevas entregados a mujeres.</t>
  </si>
  <si>
    <t>Número de subsidios de mejoramiento entregados a mujeres.</t>
  </si>
  <si>
    <t>Sumatoria del número de subsidios de mejoramiento entregados a mujeres.</t>
  </si>
  <si>
    <t xml:space="preserve">Gestión </t>
  </si>
  <si>
    <t xml:space="preserve">PGN-nación-funcionamiento </t>
  </si>
  <si>
    <t>Autoridad Nacional de Acuicultura y Pesca</t>
  </si>
  <si>
    <t>Jhon Jairo Restrepo Arenas</t>
  </si>
  <si>
    <t>Jhon.restrepo@aunap.gov.co</t>
  </si>
  <si>
    <t>Número de apoyos a iniciativas productivas de asociaciones u organizaciones de mujeres.</t>
  </si>
  <si>
    <t>Porcentaje de mujeres que asisten a las actividades de divulgación de la oferta.</t>
  </si>
  <si>
    <t>Fondo para el Financiamiento del Sector Agropecuario</t>
  </si>
  <si>
    <t>Gerencia de Planeación</t>
  </si>
  <si>
    <t>Juan Carlos Restrepo</t>
  </si>
  <si>
    <t>jrestrepo@finagro.com.co</t>
  </si>
  <si>
    <t>Número de las socializaciones del portafolio de FINAGRO en el ámbito nacional a organizaciones y/o grupos de mujeres.</t>
  </si>
  <si>
    <t>Sumatoria de las socializaciones del portafolio de FINAGRO en el ámbito nacional a organizaciones y/o grupos de mujeres.</t>
  </si>
  <si>
    <t>Dirección de Adecuación de Tierras</t>
  </si>
  <si>
    <t xml:space="preserve">Oscar Pérez Ruíz </t>
  </si>
  <si>
    <t>oscar.perez@adr.gov.co</t>
  </si>
  <si>
    <t>Porcentaje de avance en el diseño de una encuesta de mujeres rurales con el servicio público de adecuación de tierras.</t>
  </si>
  <si>
    <t>PGN Nación</t>
  </si>
  <si>
    <t>Porcentaje de avance en la implementación de una encuesta de mujeres rurales con el servicio público de adecuación de tierras en distritos de propiedad de la ADR.</t>
  </si>
  <si>
    <t>Sumatoria del porcentaje de avance en la implementación de una encuesta de mujeres rurales con el servicio público de adecuación de tierras en distritos de propiedad de la ADR
Hito 1. Trabajo de campo, aplicación de la encuesta, desarrollado anualmente en distritos propiedad  de la ADR (4 informes de campo - 17,5% cada uno)=70%.
Hito 2. Documento de análisis de los resultados anuales de la encuesta (4 informes anuales 7,5% cada uno)=30%.</t>
  </si>
  <si>
    <t>PGN-propios-funcionamiento</t>
  </si>
  <si>
    <t>Número de jornadas de actualización tecnológica desarrolladas para las mujeres rurales.</t>
  </si>
  <si>
    <t>Sumatoria del número de jornadas de actualización tecnológica desarrolladas para las mujeres rurales.</t>
  </si>
  <si>
    <t>Número de documentos de lineamientos de política pública elaborados en favor de las mujeres rurales derivados de resultados previos de estudios técnicos e investigaciones del sector.</t>
  </si>
  <si>
    <t>Porcentaje de avance en el diseño y la implementación de la evaluación de los procesos de educación económica y financiera.</t>
  </si>
  <si>
    <t xml:space="preserve">Ministerio de Agricultura y Desarrollo Rural 
</t>
  </si>
  <si>
    <t>Objetivo 2: Desarrollar estrategias para fortalecer el liderazgo de las mujeres, con el fin de avanzar hacia la paridad en su participación en los cargos de elección popular, cargos directivos del sector público a nivel nacional y territorial y su rol en el escenario comunal.</t>
  </si>
  <si>
    <t>2.1 Adelantar actividades de difusión de información que incentiven a las mujeres a participar en las votaciones sin tener sesgos de género.</t>
  </si>
  <si>
    <t xml:space="preserve">Ministerio del Interior </t>
  </si>
  <si>
    <t>Dirección para la Democracia, Participación Ciudadana y Acción Comunal</t>
  </si>
  <si>
    <t>Jacqueline Suarez; Javier Paez</t>
  </si>
  <si>
    <t>jacqueline.suarez@mininterior.gov.co; javier.paez@mininterior.gov.co</t>
  </si>
  <si>
    <t>Número de estudios realizados sobre la participación en el escenario político por parte de las mujeres rurales, grupos étnicos, población lgbti, población con discapacidad, jóvenes y 16 curules para la paz.</t>
  </si>
  <si>
    <t>Sumatoria del número de estudios realizados sobre la participación en el escenario político por parte de las mujeres rurales, grupos étnicos, población lgbti, población con discapacidad, jóvenes y 16 curules para la paz.</t>
  </si>
  <si>
    <t>2.2</t>
  </si>
  <si>
    <t>2.3 Desarrollar una estrategia pedagógica de incentivos a través de reconocimiento a los partidos políticos de tal forma que incluyan más candidatas en sus listas de nominaciones y en sus estructuras partidistas.</t>
  </si>
  <si>
    <t>Unidad Asesora de Planeación; Centro de Estudios en Democracia y Asuntos Electorales</t>
  </si>
  <si>
    <t>Luis Gabriel Peñaranda; Ana María Rodriguez Romero</t>
  </si>
  <si>
    <t xml:space="preserve">lgpenaranda@cne.gov.co; amrodriguez@registraduria.gov.co
</t>
  </si>
  <si>
    <t>Porcentaje de avance en el diseño e implementación de  la estrategia pedagógica de incentivos a través de reconocimiento a los partidos para que  incluyan más candidatas en sus listas de nominaciones y en sus estructuras partidistas.</t>
  </si>
  <si>
    <t>Sumatoria del porcentaje de avance en el diseño e implementación de  la estrategia pedagógica de incentivos a través de reconocimiento a los partidos para que  incluyan más candidatas en sus listas de nominaciones y en sus estructuras partidistas
Hito 1. Documento con la definición de la estrategia=40%.
Hito 2. Socialización de la estrategia=10%.
Hito 3. Informes que den cuenta de la implementación de la estrategia=50%.</t>
  </si>
  <si>
    <t>2.4 Formular y socializar estrategias complementarias de comunicación masivas dirigidas a desvirtuar, desmitificar y erradicar representaciones, prácticas discriminatorias y estereotipos de género que afectan la participación de las mujeres en los altos cargos del Estado teniendo en cuenta el enfoque diferencial y étnico.</t>
  </si>
  <si>
    <t xml:space="preserve">Departamento Administrativo de la Función Pública; Departamento Administrativo de la Presidencia de la República </t>
  </si>
  <si>
    <t xml:space="preserve">Francisco Camargo Salas; Gheidy Gallo Santos </t>
  </si>
  <si>
    <t>fcamargo@funcionpublica.gov.co; gheidygallo@presidencia.gov.co</t>
  </si>
  <si>
    <t>Porcentaje de avance en las estrategias complementarias de comunicación masivas.</t>
  </si>
  <si>
    <t>Sumatoria del porcentaje de avance en las estrategias complementarias de comunicación masivas
Hito 1. Definir las estrategias complementarias de comunicación masivas de manera conjunta con la CPEM=15% en cada vigencia.
Hito 2. Elaborar el plan de trabajo encaminado al cumplimiento de las estrategias complementarias de comunicación masivas de manera conjunta con la CPEM=15% en cada vigencia.
Hito 3. Ejecutar y socializar las estrategias complementarias de comunicación masivas  de manera conjunta con la CPEM=70% en cada vigencia.</t>
  </si>
  <si>
    <t>2.5 Desarrollar mesas técnicas con partidos políticos, instituciones privadas, públicas y sociedad civil para establecer estrategias de prevención frente a la violencia contra las mujeres en el escenario político.</t>
  </si>
  <si>
    <t>Número de mesas técnicas con partidos políticos, instituciones privadas, públicas y sociedad civil para establecer estrategias de prevención frente a la violencia contra las mujeres en el escenario político.</t>
  </si>
  <si>
    <t>Sumatoria de número de mesas técnicas con partidos políticos, instituciones privadas, públicas y sociedad civil para establecer estrategias de prevención frente a la violencia contra las mujeres en el escenario político.</t>
  </si>
  <si>
    <t xml:space="preserve">Departamento Administrativo de la Presidencia de la República  
</t>
  </si>
  <si>
    <t xml:space="preserve">Consejería Presidencial para la Equidad de la Mujer 
</t>
  </si>
  <si>
    <t>Giselle Paola Pugliese</t>
  </si>
  <si>
    <t>gisellepugliese@presidencia.gov.co</t>
  </si>
  <si>
    <t>2.7 Realizar capacitaciones encaminadas a orientar el cumplimiento de asignación de recursos para la participación de las mujeres al interior de los partidos políticos.</t>
  </si>
  <si>
    <t>Número de capacitaciones dirigidas a los partidos y candidatos para el cumplimiento de al menos la asignación del 5% de recursos para la participación de las mujeres.</t>
  </si>
  <si>
    <t>Sumatoria del número de capacitaciones dirigidas a los partidos y candidatos para el cumplimiento de al menos la asignación del 5% de recursos para la participación de las mujeres.</t>
  </si>
  <si>
    <t>2.8 Realizar asistencias técnicas a la Mesa Multipartidista de Mujeres para promover al interior de las organizaciones políticas los mecanismos de paridad de género, generación de protocolos y lineamientos internos sobre paridad y sanción de la violencia contra las mujeres en el escenario político.</t>
  </si>
  <si>
    <t>Ministerio del Interior; Consejo Nacional Electoral; Departamento Administrativo de la Presidencia de la República</t>
  </si>
  <si>
    <t>Dirección para la Democracia, Participación Ciudadana y Acción Comunal; Grupo de Asuntos Electorales; Asesoría de Género, Etnias y Democracia Inclusiva; Consejería Presidencial para la Equidad de la Mujer</t>
  </si>
  <si>
    <t xml:space="preserve">Javier Paez; Jacqueline Suarez; Alejandra Salazar; Gheidy Gallo Santos
</t>
  </si>
  <si>
    <t xml:space="preserve">javier.paez@mininterior.gov.co; jacqueline.suarez@mininterior.gov.co; msalazar@registraduria.gov.co; gheidygallo@presidencia.gov.co
</t>
  </si>
  <si>
    <t>Asistencias técnicas realizadas.</t>
  </si>
  <si>
    <t>Sumatoria de asistencias técnicas realizadas.</t>
  </si>
  <si>
    <t>Ministerio del Interior</t>
  </si>
  <si>
    <t>Jacqueline Suarez</t>
  </si>
  <si>
    <t>jacqueline.suarez@mininterior.gov.co</t>
  </si>
  <si>
    <t>Porcentaje de vinculación de mujeres a la escuela de liderazgo.</t>
  </si>
  <si>
    <t>(Numero de mujeres vinculadas a la escuela de liderazgo/número de mujeres invitadas a la escuela) x 100</t>
  </si>
  <si>
    <t>Porcentaje de avance en la consolidación del modelo de formación de la Escuela Mujeres Lidesas por Colombia como una iniciativa de educación no formal orientada a promover la participación política de las mujeres para cargos de representación popular.</t>
  </si>
  <si>
    <t xml:space="preserve">2.11 Brindar asistencia técnica a las entidades territoriales para promover la participación ciudadana y política de las mujeres.  </t>
  </si>
  <si>
    <t xml:space="preserve">Asistencias técnicas realizadas. </t>
  </si>
  <si>
    <t xml:space="preserve">2.12 Implementar un programa de incentivos para que más mujeres participen en las organizaciones de la acción comunal y escalen a los cargos de más alto nivel de las organizaciones comunales. </t>
  </si>
  <si>
    <t>Juan Carlos Gonzalez</t>
  </si>
  <si>
    <t>juan.gonzalezp@mininterior.gov.co</t>
  </si>
  <si>
    <t>Porcentaje de avance del diseño e implementación de un programa de incentivos para mujeres.</t>
  </si>
  <si>
    <t>Sumatoria de porcentaje de avance de diseño e implementación de programa de incentivos para mujeres
Hito 1. Diseño de programa de incentivos para promover la participación y liderazgo de las mujeres=30%.
Hito 2. Realizar informe de seguimiento a la implementación del programa=70%.</t>
  </si>
  <si>
    <t>2.13 Diseñar e implementar una estrategia orientada a facilitar y promover el “salto” entre el liderazgo social y comunitario de las mujeres al liderazgo político.</t>
  </si>
  <si>
    <t>Porcentaje de avance del diseño e implementación de una estrategia orientada a facilitar y promover el “salto” entre el liderazgo social y comunitario de las mujeres al liderazgo político.</t>
  </si>
  <si>
    <t>Sumatoria de porcentaje de avance diseño e implementación de una estrategias orientada a facilitar y promover el “salto” entre el liderazgo social y comunitario de las mujeres al liderazgo político
Hito 1. Diseño e implementación de una estrategia orientada a facilitar y promover el “salto” entre el liderazgo social y comunitario de las mujeres al liderazgo político=30%.
Hito 2. Realizar informes de seguimiento a la implementación de la estrategia=70%.</t>
  </si>
  <si>
    <t>2.15 Diseñar y orientar una ruta de atención frente al riesgo que tienen de las mujeres que ejercen el liderazgo comunal.</t>
  </si>
  <si>
    <t>2.16 Incrementar la participación de las mujeres en los espacios de participación social del Componente de Bienestar Comunitario del Programa Familias en Acción, con el fin de fortalecer su liderazgo y competencias ciudadanas.</t>
  </si>
  <si>
    <t>Mauricio Gutierrez Ortiz</t>
  </si>
  <si>
    <t>mgutierrez@prosperidadsocial.gov.co</t>
  </si>
  <si>
    <t>2.17  Diseñar e implementar con las instituciones del gobierno nacional y territorial, una estrategia de reconocimiento y visibilidad de la labor desarrollada por las mujeres rurales , sus potencialidades y la importancia de la economía de cuidado.</t>
  </si>
  <si>
    <t>Mauricio Acosta</t>
  </si>
  <si>
    <t>mauricio.acosta@mininterior.gov.co</t>
  </si>
  <si>
    <t>Porcentaje de avance en la estrategia de reconocimiento y visibilización de la labor desarrollada por las mujeres campesinas en sus territorios.</t>
  </si>
  <si>
    <t>Sumatoria del porcentaje de avance en la estrategia de reconocimiento y visibilización de la labor desarrollada por las mujeres campesinas en sus territorios
Hito 1. Diseño de la estrategia=15%.
Hito 2. Implementación de la estrategia=65%.
Hito 3. Revisión y retroalimentación de la estrategia=20%.</t>
  </si>
  <si>
    <t>Sí, 3.3</t>
  </si>
  <si>
    <t>Ministerio de Salud y Protección Social; Departamento Administrativo de la Presidencia de la República</t>
  </si>
  <si>
    <t xml:space="preserve">PGN-nación- funcionamiento </t>
  </si>
  <si>
    <t>Ministerio de Salud y Protección Social</t>
  </si>
  <si>
    <t>Dirección de Promoción y Prevención</t>
  </si>
  <si>
    <t>Gerson Bermont</t>
  </si>
  <si>
    <t>Gbermont@minsalud.gov.co</t>
  </si>
  <si>
    <t>PGN-nación- inversión</t>
  </si>
  <si>
    <t xml:space="preserve">3.3 Realizar el diseño, producción y divulgación de una estrategia de comunicación para promover la salud cardiovascular, la salud mental y la salud materna con enfoque de género. </t>
  </si>
  <si>
    <t>Sí, 3.1, 3.7</t>
  </si>
  <si>
    <t xml:space="preserve">Porcentaje de avance en el diseño, producción y divulgación de una estrategia de comunicación para promover la salud cardiovascular, la salud mental y la salud materna con enfoque de género. </t>
  </si>
  <si>
    <t>Sumatoria del porcentaje de avance en el diseño, producción y divulgación de una estrategia de comunicación para promover la salud cardiovascular, la salud mental y la salud materna con enfoque de género
Hito 1. Brief con la información mas relevante de cada una de las temáticas (salud cardiovascular, la salud mental y la salud materna) a desarrollar en la estrategia comunicacional=25%.
Hito 2. Diseño de la estrategia creativa=25%.
Hito 3. Producción de las piezas comunicativas que conforman la estrategia de comunicación para promover la salud cardiovascular, la salud mental y la salud materna con enfoque de género=25%.
Hito 4. Divulgación de las piezas comunicativas que conforman la estrategia de comunicación para promover la salud cardiovascular, la salud mental y la salud materna con enfoque de género=25%.</t>
  </si>
  <si>
    <t>3.4 Desarrollar e implementar una estrategia que incentive y facilite la participación de las niñas, adolescentes, jóvenes y mujeres mayores en proyectos programas y estrategias relacionas con el deporte, la actividad física, la recreación, el aprovechamiento del tiempo libre.</t>
  </si>
  <si>
    <t xml:space="preserve">Ministerio del Deporte; Ministerio de Salud y Protección Social 
</t>
  </si>
  <si>
    <t xml:space="preserve">Despacho Viceministerio; Grupo de Modos y Condiciones </t>
  </si>
  <si>
    <t>Daniela Maturana; Marcela Galeano</t>
  </si>
  <si>
    <t>damaturana@mindeporte.gov.co; mgaleano@minsalud.gov.co</t>
  </si>
  <si>
    <t>Porcentaje de avance en el desarrollo e implementación de una estrategia que facilite y promueva la participación de las niñas, adolescentes, jóvenes y mujeres mayores en proyectos programas y estrategias relacionas con el deporte, la actividad física, la recreación, el aprovechamiento del tiempo libre.</t>
  </si>
  <si>
    <t>Sumatoria del porcentaje de avance del desarrollo e implementación de la estrategia que facilite y promueva la participación de as niñas, adolescentes, jóvenes y mujeres mayores en proyectos programas y estrategias relacionas con el deporte, la actividad física, la recreación, el aprovechamiento del tiempo libre
Hito 1 Documento con la definición de la estrategia=30%.
Hito 2 Socialización de la estrategia=10%.
Hito 3 Informe que dé cuenta del número de convenios interadministrativos firmados con Federaciones Nacionales con porcentajes mínimos de inversión en deporte femenino =30% (1 informe anual).
Hito 4 Informes que den cuenta de la implementación de la estrategia=30% (2 informes anuales).</t>
  </si>
  <si>
    <t>3.5 Monitorear y realizar seguimiento a la implementación de las atenciones de la rutas de riesgo para personas con enfermedades cardio cerebro vasculares y metabólicas teniendo en cuenta el enfoque de género incluido en el capitulo de adaptabilidad de la RIA, a partir de los indicadores que se definan y desde fuentes de información nacional.</t>
  </si>
  <si>
    <t>Sí, 3.2</t>
  </si>
  <si>
    <t>Porcentaje de avance en el monitoreo y seguimiento a la implementación de las atenciones de la rutas de riesgo para personas con enfermedades cardio cerebro vasculares y metabólicas teniendo en cuenta el enfoque de género, a partir de los indicadores que se definan con  fuentes de información nacional.</t>
  </si>
  <si>
    <t>Sumatoria del porcentaje de avance en el monitoreo y seguimiento a la implementación de  las atenciones de la rutas de riesgo para personas con enfermedades cardio cerebro vasculares y metabólicas teniendo en cuenta el enfoque de género,  a partir de los indicadores que se definan con  fuentes de información nacional
Hito 1. Documento que contenga la ficha técnica de los indicadores con enfoque de genero en cuanto a las atenciones del riesgo CCV y metabólico=30%.
Hito 2. Informes anuales que permiten conocer el avance en la implementación de las atenciones  RIAS y su monitoreo (Cada informe tiene un valor de 10 %)=60%.
Hito 3. Informe final del avance de la implementación de las atenciones de la RIA con enfoque de genero=10%.</t>
  </si>
  <si>
    <t>3.7 Diseñar e implementar una estrategia nacional de información, comunicación y educación para la promoción de la salud mental en condiciones de igualdad entre géneros y la reducción del estigma y la exclusión social.</t>
  </si>
  <si>
    <t xml:space="preserve">Ministerio de Salud y Protección Social </t>
  </si>
  <si>
    <t>Porcentaje de avance en el diseño e implementación de la estrategia nacional de información, comunicación y educación para la promoción de la salud mental en condiciones de igualdad entre géneros y la reducción del estigma y la exclusión social.</t>
  </si>
  <si>
    <t>57.5%</t>
  </si>
  <si>
    <t>3.8 Crear e implementar una herramienta de monitoreo, seguimiento y evaluación a la transversalización del enfoque de genero en la política nacional de salud mental.</t>
  </si>
  <si>
    <t xml:space="preserve">Ministerio de Salud y Protección Social; Departamento Administrativo de la Presidencia de la República  </t>
  </si>
  <si>
    <t xml:space="preserve">Dirección de Promoción y Prevención; Consejería Presidencial para la Equidad de la Mujer </t>
  </si>
  <si>
    <t xml:space="preserve">Gerson Bermont; Gheidy Gallo Santos </t>
  </si>
  <si>
    <t>Gbermont@minsalud.gov.co; gheidygallo@presidencia.gov.co</t>
  </si>
  <si>
    <t>Porcentaje de avance en el diseño e implementación de herramienta de monitoreo, seguimiento y evaluación a la transversalización del enfoque de genero en la política nacional de salud mental.</t>
  </si>
  <si>
    <t>3.9 Realizar monitoreo y seguimiento a la implementación de las rutas de riesgo en salud mental en el Sistema General de Seguridad Social en Salud, teniendo en cuenta el enfoque de género.</t>
  </si>
  <si>
    <t>Porcentaje de avance en el monitoreo y seguimiento en la implementación de la rutas de riesgo en salud mental en el SGSSS con enfoque de género.</t>
  </si>
  <si>
    <t xml:space="preserve">3.10 Desarrollar procesos de formación de competencias y capacidades en salud mental con enfoque de género, a nivel intersectorial e interinstitucional a y en todos los actores del Sistema General de Seguridad Social en Salud. </t>
  </si>
  <si>
    <t>Porcentaje de avance en el desarrollo de procesos de formación de competencias y capacidades en salud mental con enfoque de genero.</t>
  </si>
  <si>
    <t>Sumatoria del porcentaje de avance en el desarrollo de procesos de formación de competencias y capacidades en salud mental con enfoque de genero
Hito  1. Informe  del proceso de diseño del manual de formación para la generación de competencias en los actores del SGSSS=20%.
Hito 2. Informe del proceso de capacitación en el Manual dirigido a las entidades territoriales=20%.
Hito 3. Informe del proceso de capacitación en el Manual dirigido a las Empresas Administradoras de Planes de Beneficios=20%.
Hito 4. Informe del proceso de capacitación dirigido a los prestadores de servicios de salud priorizados=20%.
Hito 5. Informe final del proceso de formación de competencias con enfoque de género en salud mental en el SGSSS=20%.</t>
  </si>
  <si>
    <t> PGN-nación- funcionamiento</t>
  </si>
  <si>
    <t xml:space="preserve">Dirección de Promoción y Prevención </t>
  </si>
  <si>
    <t>Gerson Orlando Bermont Galavis</t>
  </si>
  <si>
    <t>gbermont@Minsalud.gov.co</t>
  </si>
  <si>
    <t>3.12 Diseñar e implementar una estrategia de tele educación, dirigida a las mujeres gestantes de zonas rurales, que fortalezca el componente promocional de la ruta integral de atención en salud materno perinatal de acuerdo con la resolución 3280 de 2018.</t>
  </si>
  <si>
    <t>Ministerio de Salud y Protección Social; Ministerio de Tecnologías de la Información y Comunicación</t>
  </si>
  <si>
    <t>Dirección de Promoción y Prevención; Dirección de Prestación de Servicios; Dirección de Infraestructura</t>
  </si>
  <si>
    <t xml:space="preserve">Gerson Orlando Bermont Galavis; Elizabeth Daza; Alberto Fernando Rodriguez Pabon </t>
  </si>
  <si>
    <t>gbermont@minsalud.gov.co; edaza@minsalud.gov.co; arodriguezp@mintic.gov.co</t>
  </si>
  <si>
    <t>Porcentaje de avance en el diseño e implementación de la estrategia de tele educación dirigida a las mujeres gestantes de zonas rurales, que fortalezca el componente promocional de la ruta integral de atención en salud materno perinatal de acuerdo a la resolución 3280 de 2018.</t>
  </si>
  <si>
    <t>Sumatoria del porcentaje de avance en el diseño e implementación de la estrategia de tele educación dirigida a las mujeres gestantes de zonas rurales, que fortalezca el componente promocional de la ruta integral de atención en salud materno perinatal de acuerdo a la resolución 3280 de 2018
Hito 1. Documento con la estructuración y diseño de la estrategia de tele educación dirigida a las mujeres gestantes de zonas rurales, que fortalezca el componente promocional de la ruta integral de atención en salud materno perinatal de acuerdo a la resolución 3280 de 2018=20%.
Hito 2. Gestión para garantizar el acceso a internet en los Centros de Salud priorizados por MinTIC para la instalación de Centros Digitales, que permita la implementación de la estrategia de tele educación dirigida a las mujeres gestantes de zonas rurales con alta mortalidad materna y que fortalezca el componente promocional de la ruta integral de atención en salud materno perinatal de acuerdo a la resolución 3280 de 2018. La instalación de los Centros Digitales está supeditada a la verificación del cumplimiento de los criterios de elegibilidad definidos por el proyecto=40%.
Hito 3. Implementación de la estrategia de tele educación dirigida a las mujeres gestantes de zonas rurales con alta mortalidad materna seleccionadas, que fortalezca el componente promocional de la ruta integral de atención en salud materno perinatal de acuerdo a la resolución 3280 de 2018=20%.
Hito 4. Informe de resultados de la implementación de la estrategia de tele educación dirigida a las mujeres gestantes de zonas rurales seleccionadas con alta mortalidad materna, que fortalezca el componente promocional de la ruta integral de atención en salud materno perinatal de acuerdo a la resolución 3280 de 2018=20%.</t>
  </si>
  <si>
    <t>3.14  Diseñar y difundir entre los actores involucrados, un lineamiento que contenga un modelo de incentivos con acciones financieras y no financieras para mejorar y garantizar  la disponibilidad del talento humano en salud en todo el territorio nacional incluidas las zonas rurales dispersas.</t>
  </si>
  <si>
    <t>Dirección de Talento Humano en Salud</t>
  </si>
  <si>
    <t>Kattya Baquero Baquero</t>
  </si>
  <si>
    <t>kbaquero@minsalud.gov.co</t>
  </si>
  <si>
    <t>Porcentaje de avance en el diseño y difusión entre los actores involucrados, de un lineamiento que contenga un modelo de incentivos con acciones financieras y no financieras para mejorar y garantizar  la disponibilidad del talento humano en salud en todo el territorio nacional incluidas las zonas rurales dispersas.</t>
  </si>
  <si>
    <t>3.15 Definir y divulgar los contenidos temáticos para que los actores del Sistema General de Seguridad Social en Salud adelanten las acciones de información; educación y comunicación individuales, grupales y familiares en el marco de lo establecido en la Resolución 3280 de 2018, con énfasis en las mujeres gestantes y  los momentos de curso de vida juventud y adultez, teniendo en cuenta los mensajes establecidos en las Guías Alimentarias Basadas en alimentos para población colombiana (MM).</t>
  </si>
  <si>
    <t>Subdirección de Salud Nutricional, Alimentos y Bebidas</t>
  </si>
  <si>
    <t>Elisa Maria Cadena</t>
  </si>
  <si>
    <t>ecadena@minsalud.gov.co</t>
  </si>
  <si>
    <t>Departamento Administrativo de Presidencia de la República; Departamento Administrativo de la Función Pública</t>
  </si>
  <si>
    <t>Consejería Presidencial para la Equidad de la Mujer; Dirección de Empleo Público</t>
  </si>
  <si>
    <t>Gheidy Gallo; Francisco Camargo</t>
  </si>
  <si>
    <t>gheidygallo@presidencia.gov.co; fcamargo@funcionpublica.gov.co</t>
  </si>
  <si>
    <t>Porcentaje de avance en la implementación de procesos de sensibilización y transformación cultural de estereotipos de género en la sociedad, especialmente servidores públicos de las entidades del nivel nacional y territorial.</t>
  </si>
  <si>
    <t xml:space="preserve">4.2 Ampliar la medición periódica de la prevalencia o cambios frente a la tolerancia a imaginarios, actitudes y prácticas que normalizan la violencia contra las mujeres, tanto en la sociedad como en funcionarios. </t>
  </si>
  <si>
    <t>Departamento Administrativo de Presidencia de la República</t>
  </si>
  <si>
    <t>Gheidy Gallo</t>
  </si>
  <si>
    <t>Porcentaje de avance en la ampliación de la medición periódica de la prevalencia o cambios frente a la tolerancia a imaginarios, actitudes y prácticas que normalizan la violencia contra las mujeres, tanto en la sociedad como en funcionarios.</t>
  </si>
  <si>
    <t xml:space="preserve">Porcentaje de avance en la consolidación de la línea telefónica permanente de orientación a mujeres víctimas de violencias, o en riesgo de serlo, a nivel nacional.  </t>
  </si>
  <si>
    <t xml:space="preserve">Dirección de Promoción y Prevención 
 </t>
  </si>
  <si>
    <t xml:space="preserve">Ana María Peñuela </t>
  </si>
  <si>
    <t>apenuela@minsalud.gov.co</t>
  </si>
  <si>
    <t>Porcentaje de avance en la elaboración de lineamientos para la implementación del Mecanismo Articulador a nivel nacional y territorial.</t>
  </si>
  <si>
    <t>Diego.llanos@minjusticia.gov.co; gheidygallo@presidencia.gov.co</t>
  </si>
  <si>
    <t xml:space="preserve"> Producto</t>
  </si>
  <si>
    <t xml:space="preserve"> Acumulado </t>
  </si>
  <si>
    <t>4.8 Diseñar y adoptar estrategias de priorización anual para el impulso judicial en los procesos de violencia sexual, violencia intrafamiliar y feminicidio.</t>
  </si>
  <si>
    <t>Consejería para la Equidad de la Mujer</t>
  </si>
  <si>
    <t>Ministerio de Justicia y del Derecho</t>
  </si>
  <si>
    <t>Dirección de Política Criminal</t>
  </si>
  <si>
    <t>Mireya Martín</t>
  </si>
  <si>
    <t>mireya.martin@minjusticia.gov.co</t>
  </si>
  <si>
    <t>Porcentaje de avance en la elaboración de un documento de seguimiento y monitoreo de los lineamientos de Resocialización con Enfoque de Justicia Restaurativa.</t>
  </si>
  <si>
    <t>Sumatoria del porcentaje de avance en la elaboración de un documento de seguimiento y monitoreo de los lineamientos de Resocialización con Enfoque de Justicia Restaurativa
Hito 1. Informe 1 del seguimiento y monitoreo de los lineamientos de resocialización con enfoque de justicia restaurativa=50%.
Hito 2. Informe 2 del seguimiento y monitoreo de los lineamientos de resocialización con enfoque de justicia restaurativa=50%.</t>
  </si>
  <si>
    <t>Ministerio del Deporte</t>
  </si>
  <si>
    <t>Despacho Viceministerio</t>
  </si>
  <si>
    <t>Daniela Maturana</t>
  </si>
  <si>
    <t>Damaturana@mindeporte.gov.co</t>
  </si>
  <si>
    <t xml:space="preserve">Producto </t>
  </si>
  <si>
    <t>Consejo Superior de la Judicatura</t>
  </si>
  <si>
    <t>Clara Milena Higuera Guío</t>
  </si>
  <si>
    <t>chiguerg@cendoj.ramajudicial.gov.co</t>
  </si>
  <si>
    <t>Diego Llanos</t>
  </si>
  <si>
    <t>Diego.llanos@minjusticia.gov.co</t>
  </si>
  <si>
    <t>Número de estrategias de socialización implementadas.</t>
  </si>
  <si>
    <t>Despacho del Viceministerio</t>
  </si>
  <si>
    <t>Porcentaje de avance en el diseño e implementación de plan estratégico de protección integral y restablecimiento de derechos deportivos a mujeres y niñas víctimas de VBG en el sector DRAF.</t>
  </si>
  <si>
    <t>Ministerio de Defensa Nacional</t>
  </si>
  <si>
    <t xml:space="preserve">Karen Pineda Mejía </t>
  </si>
  <si>
    <t>Karen.pineda@mindefensa.gov.co</t>
  </si>
  <si>
    <t>Dirección de Apropiación de TIC </t>
  </si>
  <si>
    <t>Curso con enfoque de género realizado.</t>
  </si>
  <si>
    <t>Sumatoria del número de entidades territoriales que implementen la Iniciativa Nacional para la Equidad, Emprendimiento y Seguridad de Mujeres la Rurales (INÉS) con entidades nacionales y/o territoriales.</t>
  </si>
  <si>
    <t>disec.jefat@policia.gov.co
gheidygallo@presidencia.gov.co</t>
  </si>
  <si>
    <t>Departamento Administrativo de la Presidencia</t>
  </si>
  <si>
    <t>Porcentaje de avance en el diseño y socialización de rutas intersectoriales de prevención y atención integral de violencia contra mujeres con enfoque étnico, de diversidad sexual y de discapacidad.</t>
  </si>
  <si>
    <t>Dirección de Justicia Formal</t>
  </si>
  <si>
    <t xml:space="preserve">Departamento Administrativo de Presidencia de la República
</t>
  </si>
  <si>
    <t>Giovani Suárez Burgos</t>
  </si>
  <si>
    <t>gbsuarez@mincit.gov.co</t>
  </si>
  <si>
    <t>Agencia de Renovación del Territorio</t>
  </si>
  <si>
    <t>Dirección de Programación y Gestión para la Implementación</t>
  </si>
  <si>
    <t xml:space="preserve">Fabio Alberto Canchila </t>
  </si>
  <si>
    <t>Fabio.Canchila@renovacionterritorio.gov.co</t>
  </si>
  <si>
    <t>5.4 Desarrollar estrategias de prevención y acciones de reforzamiento de seguridad dirigido a liderazgos en procesos de sustitución voluntaria de cultivos ilícitos.</t>
  </si>
  <si>
    <t>Dirección de Sustitución de Cultivos Ilícitos</t>
  </si>
  <si>
    <t>Hernando Londoño Acosta</t>
  </si>
  <si>
    <t>hernando.londono@renovacionterritorio.gov.co</t>
  </si>
  <si>
    <t>PGN-Nación</t>
  </si>
  <si>
    <t>5.5 Establecer una ruta para el seguimiento a las afectaciones con análisis de género a liderazgos vinculados a programas de sustitución voluntaria de cultivos ilícitos.</t>
  </si>
  <si>
    <t xml:space="preserve">Flujo </t>
  </si>
  <si>
    <t>5.6 Promover el acceso y permanencia de las mujeres en proceso de reincorporación a formación académica y/o formación para el trabajo.</t>
  </si>
  <si>
    <t>Agencia para la Reincorporación y Normalización</t>
  </si>
  <si>
    <t>Dirección Programática; Subdirección Territorial</t>
  </si>
  <si>
    <t>Adriana López; Sandra Buitrago</t>
  </si>
  <si>
    <t>adrianalopez@reincorporacion.gov.co; sandrabuitrago@reincorporacion.gov.co</t>
  </si>
  <si>
    <t>Porcentaje de mujeres en proceso de reincorporación vinculadas a formación académica y/o formación para el trabajo.</t>
  </si>
  <si>
    <t>(Número de mujeres vinculadas a formación académica y/o para el trabajo/Número de mujeres en reincorporación) x 100</t>
  </si>
  <si>
    <t>5.7 Fomentar la participación de las mujeres en la representación de los proyectos productivos cofinanciados por la UAEGRTD en el marco de las órdenes judiciales de restitución de tierras.</t>
  </si>
  <si>
    <t>Unidad Administrativa Especial de Gestión de Restitución de Tierras Despojadas</t>
  </si>
  <si>
    <t xml:space="preserve">Marcela Inés Lopera </t>
  </si>
  <si>
    <t>marcela.lopera@restituciondetierras.gov.co</t>
  </si>
  <si>
    <t>Porcentaje de proyectos productivos cofinanciados representados por mujeres.</t>
  </si>
  <si>
    <t>(Proyectos productivos representados por mujeres cofinanciados en la vigencia/ total de proyectos productivos cofinanciados en la vigencia) x 100</t>
  </si>
  <si>
    <t>Porcentaje de avance en la implementación de las estrategias que fortalezcan las capacidades institucionales para la reincorporación con enfoque de género, en entidades del Estado involucradas en el Proceso de Reincorporación</t>
  </si>
  <si>
    <t>(Número de estrategias implementadas para fortalecer capacidades institucionales / Número de estrategias planteadas) x 100</t>
  </si>
  <si>
    <t>Resultado</t>
  </si>
  <si>
    <t>PGN-Nación-Funcionamiento</t>
  </si>
  <si>
    <t>Porcentaje de avance de diseño e implementación de la segunda fase del Plan de Acción del Programa Integral de Garantías para Lideresas y Defensoras de Derechos Humanos 2023-2026.</t>
  </si>
  <si>
    <t>Porcentaje de avance de diseño e implementación de estrategias para el fortalecimiento del enfoque de género en los planes de prevención territorial teniendo en cuenta el enfoque diferencial étnico.</t>
  </si>
  <si>
    <t>Sumatoria del porcentaje de avance de diseño e implementación de estrategias para el fortalecimiento del enfoque de género en los planes de prevención territorial teniendo en cuenta el enfoque diferencial étnico
Hito 1. Creación de una metodología pedagógica para la sensibilización, incorporación y apropiación del enfoque de género en los planes integrales de prevención=20%.
Hito 2. Guías para incorporación y apropiación del enfoque de género en los planes integrales de prevención=20%.
Hito 3. Socialización a las autoridades a las territoriales priorizadas para la vigencia de guías para apropiación del enfoque de género en los planes integrales de prevención=40%.
Hito 4. Informe de seguimiento sobre el proceso incorporación del enfoque de género en los planes integrales de prevención=20%.</t>
  </si>
  <si>
    <t>Porcentaje de avance en la estructuración de la estrategia de autoprotección, autocuidado y bienestar emocional dirigido a mujeres lideresas y defensoras de derechos humanos.</t>
  </si>
  <si>
    <t>Porcentaje de avance en el diseño e implementación de la campaña de reconocimiento sobre la importancia de la labor de las mujeres en la construcción de la Paz.</t>
  </si>
  <si>
    <t>nataliamelendez@presidencia.gov.co</t>
  </si>
  <si>
    <t>Adriana Rivera Murcia</t>
  </si>
  <si>
    <t>arivera@mincit.gov.co</t>
  </si>
  <si>
    <t>Porcentaje de hogares retornados y reubicados participantes del programa FEST cuya titularidad esta a cargo de mujeres que fueron apoyados con acompañamiento técnico, entrega de incentivos condicionados y seguimiento con acta de visita para implementar proyectos de generación de excedentes agropecuarios</t>
  </si>
  <si>
    <t xml:space="preserve">(Total hogares retornados y reubicados participantes del programa FEST apoyados con acompañamiento técnico, entrega de incentivos condicionados y seguimiento con acta de visita para implementar proyectos de generación de excedentes agropecuarios, cuya titularidad esta a cargo de mujeres) / (Total de hogares retornados y reubicados participantes del programa FEST apoyados con acompañamiento técnico, entrega de incentivos condicionados y seguimiento con acta de visita para implementar proyectos de generación de excedentes agropecuarios, en la vigencia)x100 </t>
  </si>
  <si>
    <t>Unidad para la Atención y Reparación Integral a las Víctimas.</t>
  </si>
  <si>
    <t xml:space="preserve">Eva Valencia </t>
  </si>
  <si>
    <t>eva.valencia@unidadvictimas</t>
  </si>
  <si>
    <t>Número de mujeres víctimas del conflicto armado que participan en la estrategia Vivificarte.</t>
  </si>
  <si>
    <t>Departamento Administrativo de la Función Pública</t>
  </si>
  <si>
    <t>Francisco Camargo Salas</t>
  </si>
  <si>
    <t>fcamargo@funcionpublica.gov.co</t>
  </si>
  <si>
    <t>4,0</t>
  </si>
  <si>
    <t>4,3</t>
  </si>
  <si>
    <t>4,5</t>
  </si>
  <si>
    <t>N.1</t>
  </si>
  <si>
    <t>6.2 Diseñar y desarrollar una ruta de trabajo para el fortalecimiento de la institucionalidad territorial para la implementación de la política de equidad de género.</t>
  </si>
  <si>
    <t>Dirección de Desarrollo Organizacional</t>
  </si>
  <si>
    <t>Hugo Pérez</t>
  </si>
  <si>
    <t>hperez@funcionpublica.gov.co</t>
  </si>
  <si>
    <t xml:space="preserve">
Número de entidades con acompañamiento en la ruta de fortalecimiento de la institucionalidad territorial.</t>
  </si>
  <si>
    <t>Sumatoria de número de entidades con acompañamiento en la ruta de fortalecimiento de la institucionalidad territorial.
Nota: la ruta deberá incluir:
1. Reconocimiento de la problemática
2. Concertación del alcance
3. Acompañamiento en la implementación de las alternativas de fortalecimiento institucional</t>
  </si>
  <si>
    <t>Porcentaje de avance en el diseño y socialización un instructivo de creación de instancias de participación de las mujeres a nivel regional que incluya una ruta para la articulación con el Sistema Nacional de las Mujeres.</t>
  </si>
  <si>
    <t>Sumatoria del porcentaje de avance en el diseño y socialización un instructivo de creación de instancias de participación de las mujeres a nivel regional que incluya una ruta para la articulación con el Sistema Nacional de las Mujeres
Hito 1. Documento que contenga diseño instructivo de creación de instancias de participación de las mujeres a nivel regional=40%.
Hito 2. Documento versión para validación de Sistema Nacional de Mujeres=30%.
Hito 3. Versión para publicación y socialización=30%.</t>
  </si>
  <si>
    <t>Porcentaje de avance del fortalecimiento territorial de la implementación y sostenibilidad del programa nacional de Casas de Mujeres Empoderadas para garantizar oferta integral de servicios.</t>
  </si>
  <si>
    <t xml:space="preserve">Subdirección de Género; Dirección de Proyectos e Información de Inversión Pública </t>
  </si>
  <si>
    <t xml:space="preserve">Juanita Bernal; Yazmín González    </t>
  </si>
  <si>
    <t>jubernal@dnp.gov.co
lygonzalez@dnp.gov.co</t>
  </si>
  <si>
    <t>Porcentaje de avance en el diseño, socialización e implementación de la metodología para incorporar la perspectiva de género en el proceso de formulación de los proyectos de inversión.</t>
  </si>
  <si>
    <t>Sumatoria del porcentaje de avance en el diseño, socialización e implementación de la metodología para incorporar la perspectiva de género en el proceso de formulación de los proyectos de inversión
Hito 1. Documento borrador con el diseño de la metodología=25%.
Hito 2. Documento definitivo con el diseño de la metodología y una propuesta para la socialización y apropiación por parte de las direcciones técnicas de la entidad y entidades del nivel nacional=30%.
Hito 3. Realización de la socialización y asistencias técnicas a todas las direcciones técnicas del DNP que revisan proyectos de inversión y a las entidades que tienen acciones en la presente política=45%.</t>
  </si>
  <si>
    <t>kagarciar@dane.gov.co</t>
  </si>
  <si>
    <t xml:space="preserve">Porcentaje de avance en la elaboración de estrategia para mitigar los sesgos de género o vacíos en materia de información estadística, que deberá abordar tres líneas de acción: 1) Aumento de la disponibilidad de conjuntos de datos estadísticos de calidad para la toma de decisiones, 2) Fortalecimiento de las capacidades de las entidades públicas que hacen parte del Sistema Estadístico Nacional, para la gestión de los datos estadísticos con enfoque de género, 3) Visibilización e incidencia de la información estadística para abordar las desigualdades de género.  </t>
  </si>
  <si>
    <t>Departamento Administrativo Nacional de Estadística</t>
  </si>
  <si>
    <t>Grupo de Enfoque Diferencial e Interseccional</t>
  </si>
  <si>
    <t>Karen Garcia</t>
  </si>
  <si>
    <t>Porcentaje de avance en el diseño de la operación estadística.</t>
  </si>
  <si>
    <t>Sumatoria del porcentaje de avance en el diseño de la operación estadística
Hito 1.Diseño de la Encuesta= 50%.
Hito 2. Ejecución de la Encuesta= 50%.</t>
  </si>
  <si>
    <t>Ministerio de Ciencia, Tecnología e Innovación; Departamento Nacional de Planeación</t>
  </si>
  <si>
    <t xml:space="preserve">Dirección de Vocaciones y Formación|Dirección de Capacidades y Divulgación; Subdirección de Género </t>
  </si>
  <si>
    <t>Clara Beatriz Ocampo; Nelson Andrés Calderón; Juanita Bernal</t>
  </si>
  <si>
    <t>Dirección de Seguimiento y Evaluación de Políticas Públicas</t>
  </si>
  <si>
    <t>Olga Romero</t>
  </si>
  <si>
    <t>oromero@dnp.gov.co</t>
  </si>
  <si>
    <t>Número de evaluaciones con enfoque de género realizadas utilizando el lineamiento actualizado desarrollado por el DNP y ONU Mujeres para tal fin.</t>
  </si>
  <si>
    <t>Sumatoria de evaluaciones con enfoque de género adelantadas utilizando el lineamiento actualizado desarrollado por el DNP y ONU Mujeres para tal fin.</t>
  </si>
  <si>
    <t>Porcentaje de avance en la formulación y ejecución del Plan de Acción de Género y Cambio Climático.</t>
  </si>
  <si>
    <t>Sumatoria del porcentaje de avance en la formulación y ejecución del Plan de Acción de Género y Cambio Climático
Hito 1. Hoja de Ruta del plan de acción de género=30%.
Hito 2. Propuesta Plan de Acción de Género y Cambio Climático a la CICC=30%.
Hito 3. Plan de Acción de Género y Cambio Climático formulado=40%.</t>
  </si>
  <si>
    <t>PGN-Funcionamiento</t>
  </si>
  <si>
    <t>Consejería Presidencial de Equidad para la Mujer</t>
  </si>
  <si>
    <t>Comisión de Regulación de las Comunicaciones</t>
  </si>
  <si>
    <t>Coordinación de Contenidos Audiovisuales</t>
  </si>
  <si>
    <t>Ricardo Ramírez</t>
  </si>
  <si>
    <t>ricardo.ramirez@crcom.gov.co</t>
  </si>
  <si>
    <t xml:space="preserve">
GiT Comunicaciones
</t>
  </si>
  <si>
    <t>Bibiana Perilla</t>
  </si>
  <si>
    <t>yperilla@mindeporte.gov.co</t>
  </si>
  <si>
    <t>Porcentaje de avance estrategia para incorporar enfoque de género en las estrategias de comunicación interna y externa.</t>
  </si>
  <si>
    <t>Porcentaje de avance en el diseño, ejecución, socialización y uso de los resultados de la evaluación de operaciones y resultados de las medidas afirmativas en favor de las mujeres rurales implementadas por entidades del sector agricultura y desarrollo rural.</t>
  </si>
  <si>
    <t>Sumatoria de porcentaje de avance en el diseño, ejecución, socialización y uso de los resultados de la evaluación de operaciones y resultados de las medidas afirmativas en favor de las mujeres rurales implementadas por entidades del sector agricultura y desarrollo rural
Hito 1. Identificación y selección con entidades del sector de los programas a evaluar=10%.
Hito 2. Diseño de la evaluación de los programas seleccionados=20%.
Hito 3. Ejecución de la evaluación=50%.
Hito 4. Socialización y uso de los resultados de la evaluación=20%.</t>
  </si>
  <si>
    <t>190:222D221219:221D221219:221D221219:221D221219:221</t>
  </si>
  <si>
    <t>Porcentaje de avance en el diseño e implementación de una estrategia de formación para el fortalecimiento de las capacidades en género e interseccionalidad de funcionarios y mujeres lideresas rurales para el diseño y ejecución de instrumentos de política pública del sector agricultura y desarrollo rural con enfoque territorial diferencial.</t>
  </si>
  <si>
    <t>Dirección de Participación y Servicio al Ciudadano</t>
  </si>
  <si>
    <t>Adriana Vargas</t>
  </si>
  <si>
    <t>gvargas@funcionpublica.gov.co</t>
  </si>
  <si>
    <t>Porcentaje de avance en el diseño e implementación de los lineamientos para incorporar el enfoque de género y de orientaciones sexuales e identidades de género diversas en los procesos de rendición de cuentas de las entidades  y en el servicio a la ciudadanía.</t>
  </si>
  <si>
    <t>Sumatoria del porcentaje de avance en el diseño e implementación de los lineamientos para incorporar el enfoque de género y de orientaciones sexuales e identidades de género diversas en los procesos de rendición de cuentas de las entidades  y en el servicio a la ciudadanía
Hito 1. Actualización de lineamientos en el servicio a la ciudadanía incorporando el enfoque=30%.
Hito 2. Actualización de lineamientos en los procesos de rendición de cuentas incorporando el enfoque=30%.
Hito 3. Socialización y apropiación de lineamientos=40%.</t>
  </si>
  <si>
    <t xml:space="preserve">Porcentaje de avance en el desarrollo de un programa de capacitación para fortalecer los conocimientos y competencias en la integración del enfoque de género en los procesos de diseño, formulación, planeación, seguimiento y evaluación de políticas, programas y proyectos, dirigido a diversos actores en el nivel nacional y territorial.  
</t>
  </si>
  <si>
    <t>Porcentaje de avance en la actualización de los Lineamientos para la equidad de género del sector minero-energético.</t>
  </si>
  <si>
    <t>Maria Andrea Silva</t>
  </si>
  <si>
    <t>Instituto Nacional de Vías</t>
  </si>
  <si>
    <t>gtoro@invias.gov.co</t>
  </si>
  <si>
    <t xml:space="preserve">Porcentaje de avance en la actualización de los documentos técnicos, manuales, guías e instrumentos similares de construcción de infraestructura de transporte, en los cuales se incluya el enfoque de género y diferencial. </t>
  </si>
  <si>
    <t xml:space="preserve">Oficina de Promoción Social </t>
  </si>
  <si>
    <t>Magda Yanira Camelo Romero</t>
  </si>
  <si>
    <t xml:space="preserve">mcamelo@minsalud.gov.co </t>
  </si>
  <si>
    <t xml:space="preserve">Gestión                                       </t>
  </si>
  <si>
    <t>Porcentaje de avance en la implementación del enfoque de género en el Censo Económico de Colombia.</t>
  </si>
  <si>
    <t xml:space="preserve"> 1.i </t>
  </si>
  <si>
    <t>Gisell Paola Pugliese de la Cruz</t>
  </si>
  <si>
    <t>gisellpugliese@presidencia.gov.co</t>
  </si>
  <si>
    <t xml:space="preserve">
Gisell Paola Pugliese </t>
  </si>
  <si>
    <t>Subdirección de Sostenibilidad</t>
  </si>
  <si>
    <t>jleyva@invias.gov.co</t>
  </si>
  <si>
    <t>Oficina Asesora de Planeación</t>
  </si>
  <si>
    <t xml:space="preserve">Monica Isabel Posso </t>
  </si>
  <si>
    <t>Moposso@mindeporte.gov.co</t>
  </si>
  <si>
    <t>Porcentaje de avance en el diseño e implementación de la estrategia de formación en control social dirigida a mujeres rurales.</t>
  </si>
  <si>
    <t>Costos y recursos asignados totales</t>
  </si>
  <si>
    <r>
      <t>Diferencia entre el total de recursos asignados a las acciones y el costo total de las acciones</t>
    </r>
    <r>
      <rPr>
        <b/>
        <vertAlign val="superscript"/>
        <sz val="11"/>
        <rFont val="Arial Narrow"/>
        <family val="2"/>
      </rPr>
      <t xml:space="preserve"> (1)</t>
    </r>
  </si>
  <si>
    <t>Avance total</t>
  </si>
  <si>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</si>
  <si>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</si>
  <si>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</si>
  <si>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</si>
  <si>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</si>
  <si>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</si>
  <si>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en el marco de sus competencias, con las entidades responsables para que estas avancen en el cumplimiento de sus acciones, en particular para aquellas que se encuentran rezagadas en su ejecución?</t>
  </si>
  <si>
    <t>Corte No. 1
MM/AA</t>
  </si>
  <si>
    <t xml:space="preserve">1. </t>
  </si>
  <si>
    <t xml:space="preserve">2. </t>
  </si>
  <si>
    <t>3.</t>
  </si>
  <si>
    <t>4.</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</si>
  <si>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</si>
  <si>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</si>
  <si>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</si>
  <si>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</si>
  <si>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INDICADORES DE RESULTADO</t>
  </si>
  <si>
    <t xml:space="preserve">      1. CARACTERÍSTICAS GENERALES</t>
  </si>
  <si>
    <t xml:space="preserve">   2. MEDICIÓN</t>
  </si>
  <si>
    <t xml:space="preserve">   3. SEGUIMIENTO</t>
  </si>
  <si>
    <t>Descripción</t>
  </si>
  <si>
    <t>Relación con:</t>
  </si>
  <si>
    <t>Unidad de medida</t>
  </si>
  <si>
    <t>Tiempo de medición</t>
  </si>
  <si>
    <t>Línea base</t>
  </si>
  <si>
    <t>Metas</t>
  </si>
  <si>
    <t>Metodología de medición</t>
  </si>
  <si>
    <t xml:space="preserve">Fuentes de información </t>
  </si>
  <si>
    <t>Días de rezago</t>
  </si>
  <si>
    <t>Serie disponible</t>
  </si>
  <si>
    <t>Responsable del indicador</t>
  </si>
  <si>
    <t>Responsable del seguimiento al indicador en DNP</t>
  </si>
  <si>
    <t>Avance</t>
  </si>
  <si>
    <t>Dimensión</t>
  </si>
  <si>
    <t>Indicadores de resultado del PND vigente</t>
  </si>
  <si>
    <t>ODS</t>
  </si>
  <si>
    <t>Acción PAS</t>
  </si>
  <si>
    <t>Año</t>
  </si>
  <si>
    <t>Fuente LB</t>
  </si>
  <si>
    <t>2022-2</t>
  </si>
  <si>
    <t>2023-2</t>
  </si>
  <si>
    <t>2024-2</t>
  </si>
  <si>
    <t>2025-2</t>
  </si>
  <si>
    <t>2026-2</t>
  </si>
  <si>
    <t>2027-2</t>
  </si>
  <si>
    <t>2028-2</t>
  </si>
  <si>
    <t>2029-2</t>
  </si>
  <si>
    <t>2030-2</t>
  </si>
  <si>
    <t>Lista de chequeo para la calidad de las acciones</t>
  </si>
  <si>
    <t>Descripción del formato</t>
  </si>
  <si>
    <t>Este formato ha sido diseñado con el objeto de garantizar la consistencia de las acciones incluidas en el Formato Plan de Acción y Seguimiento (PAS), en especial, la correspondencia entre su descripción con los indicadores y su fórmula de cálculo. Se recomienda a las direcciones técnicas del DNP tenerlo en cuenta a lo largo del proceso de elaboración de documentos CONPES.
Este formato se debe tener en cuenta para cada acción. No obstante, el Grupo CONPES diligenciará una única lista de chequeo a nivel de documento cuando realice la revisión de las versiones enviadas por la Dirección técnica.</t>
  </si>
  <si>
    <t>Componente</t>
  </si>
  <si>
    <t>Sí</t>
  </si>
  <si>
    <t>Observaciones</t>
  </si>
  <si>
    <t>Alcance de la acción</t>
  </si>
  <si>
    <t xml:space="preserve">El alcance de la acción está relacionado con lo que propone el objetivo específico que integra. </t>
  </si>
  <si>
    <t>La acción se constituye en una iniciativa pública que atiende de forma directa la problemática o parte de la problemática identificada en el diagnóstico.</t>
  </si>
  <si>
    <t>La acción es un esfuerzo adicional a la misionalidad habitual de la entidad, que se desarrollará en el marco de la articulación institucional y en aras de dar cumplimiento al objetivo de la política.</t>
  </si>
  <si>
    <t>La acción surgió como una iniciativa en el marco de la elaboración de este documento CONPES y su ejecución depende de la aprobación de este por parte de los miembros del CONPES.</t>
  </si>
  <si>
    <t>La acción no está incluida en un Documento CONPES aprobado previamente.</t>
  </si>
  <si>
    <t xml:space="preserve">Sobre la importancia relativa </t>
  </si>
  <si>
    <t>El valor asignado responde o expresa la importancia que el cumplimiento del objetivo específico y las acciones tienen sobre el logro del objetivo de política.</t>
  </si>
  <si>
    <t>La suma de las importancias relativas de los objetivos específicos es igual a 100 %.</t>
  </si>
  <si>
    <t>La suma de las importancias relativas de las acciones de cada objetivo específico es igual a importancia relativa de este.</t>
  </si>
  <si>
    <t>Sobre los responsables de la acción</t>
  </si>
  <si>
    <t>Las entidades públicas involucradas están identificadas en el manual de estructura del Estado del Departamento Administrativo de la Función Pública.</t>
  </si>
  <si>
    <t>Quien figura como responsable, y como apoyo, está informado y está de acuerdo con el alcance de la acción, el horizonte temporal, el indicador, las metas y la información sobre costos y recursos incluidas en el formato.</t>
  </si>
  <si>
    <t>La inclusión de información en los campos de responsables se realizó teniendo en cuenta las instrucciones incluidas en la pestaña “Instrucciones PAS” de este formato.</t>
  </si>
  <si>
    <t xml:space="preserve">Sobre el tiempo de ejecución </t>
  </si>
  <si>
    <t>La fecha de inicio es por lo menos la fecha tentativa de la sesión CONPES en la que se aprobaría el documento.</t>
  </si>
  <si>
    <t>Dentro de este tiempo de ejecución (fecha inicial – fecha final) se formularon las metas de la acción.</t>
  </si>
  <si>
    <t>Sobre el indicador</t>
  </si>
  <si>
    <t>El indicador buscar medir, en el sentido estricto, el cumplimiento de lo descrito en el campo “Acción" (el alcance de la acción).</t>
  </si>
  <si>
    <t>La fórmula de cálculo del indicador es coherente con el nombre del indicador.</t>
  </si>
  <si>
    <t>Si la acción plantea un indicador de porcentaje de avance, se deja planteada de una manera clara cómo se dará cumplimiento a cada uno de los hitos planteados.</t>
  </si>
  <si>
    <t>El tipo de indicador y la forma de acumulación se incluyeron teniendo en cuenta las instrucciones incluidas en la pestaña “Instrucciones PAS” de este formato.</t>
  </si>
  <si>
    <t>Si la acción tiene línea base, se incluyó el valor y año. Además, este aspecto se tuvo en cuenta en la formulación de las metas para aquellos casos en los que estas se acumulen de un año a otro.</t>
  </si>
  <si>
    <t>Sobre las metas</t>
  </si>
  <si>
    <t>La unidad de medida de las metas responde, en el sentido estricto, al nombre del indicador y su fórmula de cálculo.</t>
  </si>
  <si>
    <t>Las metas están ubicadas dentro del tiempo de ejecución de la acción (fecha inicial – fecha final).</t>
  </si>
  <si>
    <t>Si es un indicador de la acción de tipo Acumulado, se observa un avance frente al año anterior en las metas definidas dentro del horizonte de tiempo.</t>
  </si>
  <si>
    <t>Sobre los costos y la fuente de recursos</t>
  </si>
  <si>
    <t>La información de los costos está relacionada con el logro de las metas de cada año.</t>
  </si>
  <si>
    <t>Se incluyen las fuentes de los recursos con los que eventualmente se financiaría la ejecución de las acciones.</t>
  </si>
  <si>
    <t>Los costos y los recursos se incluyeron teniendo en cuenta las instrucciones incluidas en la pestaña “Instrucciones PAS” de este formato.</t>
  </si>
  <si>
    <t>Instrucciones para el diligenciamiento del Plan de Acción y Seguimiento (PAS)</t>
  </si>
  <si>
    <t>Pasos</t>
  </si>
  <si>
    <t>Paso 0.  Datos básicos</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</si>
  <si>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dejar vacía.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</si>
  <si>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Paso 1. Plan de acción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</si>
  <si>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</si>
  <si>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</si>
  <si>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</si>
  <si>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</si>
  <si>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</si>
  <si>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f. Indicadores de cumplimiento</t>
    </r>
    <r>
      <rPr>
        <sz val="10"/>
        <rFont val="Arial"/>
        <family val="2"/>
      </rPr>
      <t>: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Adicionalmente, evite formular varios indicadores para una sola acción.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t>
    </r>
  </si>
  <si>
    <r>
      <rPr>
        <sz val="10"/>
        <color theme="0"/>
        <rFont val="Arial"/>
        <family val="2"/>
      </rPr>
      <t>.</t>
    </r>
    <r>
      <rPr>
        <sz val="10"/>
        <rFont val="Arial"/>
        <family val="2"/>
      </rPr>
      <t xml:space="preserve">-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t>
    </r>
    <r>
      <rPr>
        <sz val="10"/>
        <color theme="0"/>
        <rFont val="Arial"/>
        <family val="2"/>
      </rPr>
      <t>(</t>
    </r>
    <r>
      <rPr>
        <sz val="10"/>
        <rFont val="Arial"/>
        <family val="2"/>
      </rPr>
      <t>porcentajes o valores absolutos</t>
    </r>
    <r>
      <rPr>
        <sz val="10"/>
        <color theme="0"/>
        <rFont val="Arial"/>
        <family val="2"/>
      </rPr>
      <t>)</t>
    </r>
    <r>
      <rPr>
        <sz val="10"/>
        <rFont val="Arial"/>
        <family val="2"/>
      </rPr>
      <t>; no escriba palabras.
 - Registre las metas anuales en línea con su forma de acumulación. Tenga en cuenta que se requiere una meta para cada año del tiempo de ejecución de las acciones y estas deben ser distintas a cero si la forma de acumulación es acumulado o flujo.
 - La meta final se define con base en la forma de acumulación así:
Acumulado y reducción acumulada: meta del último año de ejecución.
Flujo y reducción: promedio de metas anuales.</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</si>
  <si>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</si>
  <si>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</si>
  <si>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</si>
  <si>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</si>
  <si>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</si>
  <si>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</si>
  <si>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</si>
  <si>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t>Paso 3. Balance cualitativo</t>
  </si>
  <si>
    <r>
      <t xml:space="preserve">Responda las preguntas que están en la sección de balance cualitativo  y actualice los datos de contacto de los responsables del reporte de las acciones en los casos que haya lugar. Para la pregunta 4, tenga en cuenta las siguientes recomendaciones dependiendo del nivel de rezago del documento CONPES:
</t>
    </r>
    <r>
      <rPr>
        <b/>
        <sz val="10"/>
        <color theme="1"/>
        <rFont val="Arial"/>
        <family val="2"/>
      </rPr>
      <t>• Categoría verde:</t>
    </r>
    <r>
      <rPr>
        <sz val="10"/>
        <color theme="1"/>
        <rFont val="Arial"/>
        <family val="2"/>
      </rPr>
      <t xml:space="preserve"> no es necesario que la DT realice alguna intervención nueva, pero de haber venido realizado alguna gestión, puede continuar con esta. 
</t>
    </r>
    <r>
      <rPr>
        <b/>
        <sz val="10"/>
        <color theme="1"/>
        <rFont val="Arial"/>
        <family val="2"/>
      </rPr>
      <t>• Categorías amarilla y roja</t>
    </r>
    <r>
      <rPr>
        <sz val="10"/>
        <color theme="1"/>
        <rFont val="Arial"/>
        <family val="2"/>
      </rPr>
      <t>: se recomienda revisar si el motivo de rezago del documento CONPES se debe al no reporte oportuno de los compromisos o a la no ejecución. Para esto, la DT puede solicitar a Grupo CONPES el semáforo del documento CONPES en cuestión y validar el número de acciones que se encuentran en las categorías sin aprobación y sin reporte, lo que implica que no se reportaron oportunamente los compromisos; y el número de acciones en las categorías en alerta y atrasada, lo que implica baja ejecución. Si el motivo de rezago obedece al primer caso, se recomienda a la DT contactar a los responsables de reporte y validar los motivos por los cuales este no se está realizando. Si el motivo de rezago obedece al segundo caso, se recomienda a la DT revisar los motivos de incumplimiento descritos en los reportes realizados con el fin de identificar situaciones que estén incidiendo en la baja ejecución. Es de suma importancia que la DT pueda, desde sus competencias, proponer soluciones para promover la ejecución de las acciones. 
Para más información del rezago de documentos CONPES, consulte la sección 6.1. Lineamientos para fortalecer el análisis del seguimiento a documentos CONPES del manual metodológico para la elaboración de documentos CONPES.</t>
    </r>
  </si>
  <si>
    <t>Instrucciones para el diligenciamiento de la hoja de vida de los indicadores de resultados</t>
  </si>
  <si>
    <t>Paso 1.  Características generales</t>
  </si>
  <si>
    <r>
      <rPr>
        <b/>
        <sz val="10"/>
        <rFont val="Arial"/>
        <family val="2"/>
      </rPr>
      <t xml:space="preserve">a. Nombre del indicador: </t>
    </r>
    <r>
      <rPr>
        <sz val="10"/>
        <rFont val="Arial"/>
        <family val="2"/>
      </rPr>
      <t xml:space="preserve">
- Escriba el nombre del indicador, el cual debe ser corto y dar cuenta de lo que está midiendo.
</t>
    </r>
  </si>
  <si>
    <r>
      <rPr>
        <b/>
        <sz val="10"/>
        <rFont val="Arial"/>
        <family val="2"/>
      </rPr>
      <t>b.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</si>
  <si>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c. Relación con:</t>
    </r>
    <r>
      <rPr>
        <sz val="10"/>
        <rFont val="Arial"/>
        <family val="2"/>
      </rPr>
      <t xml:space="preserve">
- Dimensión: temática del indicador de resultado. Puede consultar https://terridata.dnp.gov.co/assets/docs/Cartilla%201%20Conceptos%20Basicos.pdf para más información.
- Indicadores de resultado del PND vigente: indique con cuál o cuáles guarda relación.
- ODS: indique con cuál o cuáles guarda relación.
- Acción PAS: indique de cuáles acciones dentro del PAS depende este indicador.</t>
    </r>
  </si>
  <si>
    <t>Paso 2. Medición</t>
  </si>
  <si>
    <r>
      <rPr>
        <b/>
        <sz val="10"/>
        <rFont val="Arial"/>
        <family val="2"/>
      </rPr>
      <t xml:space="preserve">a. Fórmula de cálculo: </t>
    </r>
    <r>
      <rPr>
        <sz val="10"/>
        <rFont val="Arial"/>
        <family val="2"/>
      </rPr>
      <t>escriba la expresión matemática con la cual se calcula el indicador.</t>
    </r>
  </si>
  <si>
    <r>
      <rPr>
        <b/>
        <sz val="10"/>
        <rFont val="Arial"/>
        <family val="2"/>
      </rPr>
      <t>b. Unidad de medida:</t>
    </r>
    <r>
      <rPr>
        <sz val="10"/>
        <rFont val="Arial"/>
        <family val="2"/>
      </rPr>
      <t xml:space="preserve"> escriba el parámetro de referencia para determinar las magnitudes de medición del indicador.</t>
    </r>
  </si>
  <si>
    <r>
      <rPr>
        <b/>
        <sz val="10"/>
        <rFont val="Arial"/>
        <family val="2"/>
      </rPr>
      <t>c. Tiempo de medición:</t>
    </r>
    <r>
      <rPr>
        <sz val="10"/>
        <rFont val="Arial"/>
        <family val="2"/>
      </rPr>
      <t xml:space="preserve"> escriba la fecha inicial y final en que se mediría el indicador.</t>
    </r>
  </si>
  <si>
    <r>
      <rPr>
        <b/>
        <sz val="10"/>
        <rFont val="Arial"/>
        <family val="2"/>
      </rPr>
      <t>d. Línea base:</t>
    </r>
    <r>
      <rPr>
        <sz val="10"/>
        <rFont val="Arial"/>
        <family val="2"/>
      </rPr>
      <t xml:space="preserve">
- Indique el valor y fecha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</si>
  <si>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</si>
  <si>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</si>
  <si>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información: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</si>
  <si>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</si>
  <si>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</si>
  <si>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t>Paso 3. Seguimiento</t>
  </si>
  <si>
    <r>
      <rPr>
        <b/>
        <sz val="10"/>
        <rFont val="Arial"/>
        <family val="2"/>
      </rPr>
      <t xml:space="preserve">a)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</si>
  <si>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r>
      <rPr>
        <b/>
        <sz val="10"/>
        <rFont val="Arial"/>
        <family val="2"/>
      </rPr>
      <t xml:space="preserve">b) Datos del responsable del seguimiento al indicador en DNP: 
- </t>
    </r>
    <r>
      <rPr>
        <sz val="10"/>
        <rFont val="Arial"/>
        <family val="2"/>
      </rPr>
      <t xml:space="preserve">Se debe escribir el nombre de la persona responsable de revisar la información de avance de este indicador en los términos presentados en la ficha técnica. 
- Para el campo de entidad y dependencia escriba nombres completos y evite el uso de siglas. 
</t>
    </r>
  </si>
  <si>
    <r>
      <t xml:space="preserve">
</t>
    </r>
    <r>
      <rPr>
        <b/>
        <sz val="10"/>
        <rFont val="Arial"/>
        <family val="2"/>
      </rPr>
      <t>c) Avance del indicador de resultado:</t>
    </r>
    <r>
      <rPr>
        <sz val="10"/>
        <color theme="1"/>
        <rFont val="Arial"/>
        <family val="2"/>
      </rPr>
      <t xml:space="preserve">
- El avance del indicador de resultado debe estar expresado </t>
    </r>
    <r>
      <rPr>
        <b/>
        <sz val="10"/>
        <color theme="1"/>
        <rFont val="Arial"/>
        <family val="2"/>
      </rPr>
      <t>en términos d</t>
    </r>
    <r>
      <rPr>
        <sz val="10"/>
        <color theme="1"/>
        <rFont val="Arial"/>
        <family val="2"/>
      </rPr>
      <t xml:space="preserve">e cómo fue formulado. El registro de las metas debe corresponder a la fechas de corte de seguimiento.
</t>
    </r>
    <r>
      <rPr>
        <sz val="10"/>
        <rFont val="Arial"/>
        <family val="2"/>
      </rPr>
      <t xml:space="preserve">
- El porcentaje de avance del indicador se calcula con la siguiente fórmula: 
</t>
    </r>
    <r>
      <rPr>
        <b/>
        <sz val="10"/>
        <color rgb="FFC00000"/>
        <rFont val="Arial"/>
        <family val="2"/>
      </rPr>
      <t xml:space="preserve">Porcentaje de avance del indicador = (avance del indicador de Ni en el corte N/ meta del indicador Ni para el año del corte).
</t>
    </r>
  </si>
  <si>
    <t>Recomendaciones de forma</t>
  </si>
  <si>
    <t>1. No modifique el formato del Plan de acción y seguimiento en cuanto a: tipo de letra, nombres de las columnas y de las filas, bordes, colores de las celdas, formatos de las columnas correspondientes nombradas "% de avance".</t>
  </si>
  <si>
    <t>2. En el Plan de Acción, elimine y/o adicione columnas y filas conforme al número de objetivos, acciones, vigencias y cortes. Asegúrese de mantener el formato cuando adicione y/o elimine columnas y filas.</t>
  </si>
  <si>
    <t>3. Asegúrese de aplicar y copiar en el Plan de Acción las fórmulas de cálculo para las filas y columnas que tienen fórmulas: "Avance acumulado", "% de avance", "%de cumplimiento acumulado de los objetivos", "Avance de las acciones" y "Avance financiero".</t>
  </si>
  <si>
    <t xml:space="preserve">4. Haga buen uso de las normas ortográficas. No use mayúsculas sostenidas, alterne entre mayúscula y minúscula. </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</si>
  <si>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</si>
  <si>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</si>
  <si>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</si>
  <si>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</si>
  <si>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</si>
  <si>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</si>
  <si>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</si>
  <si>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</si>
  <si>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</si>
  <si>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</si>
  <si>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</si>
  <si>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</si>
  <si>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</si>
  <si>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</si>
  <si>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</si>
  <si>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</si>
  <si>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</si>
  <si>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</si>
  <si>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</si>
  <si>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</si>
  <si>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</si>
  <si>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</si>
  <si>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</si>
  <si>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</si>
  <si>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</si>
  <si>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</si>
  <si>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</si>
  <si>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</si>
  <si>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</si>
  <si>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</si>
  <si>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</si>
  <si>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</si>
  <si>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</si>
  <si>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</si>
  <si>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DENDD</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</si>
  <si>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</si>
  <si>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</si>
  <si>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</si>
  <si>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</si>
  <si>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</si>
  <si>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</si>
  <si>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</si>
  <si>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</si>
  <si>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</si>
  <si>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</si>
  <si>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</si>
  <si>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</si>
  <si>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DDFF</t>
  </si>
  <si>
    <t>Dirección de Descentralización y Fortalecimiento Fiscal</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</si>
  <si>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</si>
  <si>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</si>
  <si>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</si>
  <si>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</si>
  <si>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</si>
  <si>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</si>
  <si>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</si>
  <si>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DODT</t>
  </si>
  <si>
    <t>Dirección de Ordenamiento y Desarrollo Territorial</t>
  </si>
  <si>
    <t>DER</t>
  </si>
  <si>
    <t>Dirección de Estrategia Regional</t>
  </si>
  <si>
    <t>DDRS</t>
  </si>
  <si>
    <t xml:space="preserve">Subdirección de Crédito </t>
  </si>
  <si>
    <t>Subdirección de Empleo y Seguridad Social</t>
  </si>
  <si>
    <t xml:space="preserve">Grupo de Tecnología </t>
  </si>
  <si>
    <t>DDU</t>
  </si>
  <si>
    <t>DEE</t>
  </si>
  <si>
    <t>DIDE</t>
  </si>
  <si>
    <t>DIES</t>
  </si>
  <si>
    <t>DPIP</t>
  </si>
  <si>
    <t>Dirección de Programación de Inversiones Públicas</t>
  </si>
  <si>
    <t>DGDHP</t>
  </si>
  <si>
    <t>Dirección de Gobierno, Derechos Humanos y Paz</t>
  </si>
  <si>
    <t>DJSD</t>
  </si>
  <si>
    <t>Dirección de Justicia, Seguridad y Defensa</t>
  </si>
  <si>
    <t>DSEPP</t>
  </si>
  <si>
    <t>DGP</t>
  </si>
  <si>
    <t>Dirección de Gestión y Promoción del Sistema General de Regalías</t>
  </si>
  <si>
    <t>DSEC</t>
  </si>
  <si>
    <t>Dirección de Seguimiento, Evaluación y Control del SGR</t>
  </si>
  <si>
    <t>DG</t>
  </si>
  <si>
    <t>Dirección General</t>
  </si>
  <si>
    <t>SGPDN</t>
  </si>
  <si>
    <t>SUBDIRECCIÓN GENERAL DE PROSPECTIVA Y DESARROLLO NACIONAL</t>
  </si>
  <si>
    <t>SGDDT</t>
  </si>
  <si>
    <t>SUBDIRECCIÓN GENERAL DE DESCENTRALIZACIÓN Y DESARROLLO TERRITORIAL</t>
  </si>
  <si>
    <t>SGSGR</t>
  </si>
  <si>
    <t>SUBDIRECCIÓN GENERAL DEL SISTEMA GENERAL DE REGALÍAS</t>
  </si>
  <si>
    <t>SGISE</t>
  </si>
  <si>
    <t>SUBDIRECCIÓN GENERAL DE INVERSIONES, SEGUIMIENTO Y EVALUACIÓN</t>
  </si>
  <si>
    <t>Ambiente</t>
  </si>
  <si>
    <t>Censo 2005 y proyecciones DANE</t>
  </si>
  <si>
    <t>Conflicto armado y seguridad ciudadana</t>
  </si>
  <si>
    <t>Demografía y población</t>
  </si>
  <si>
    <t>SGR</t>
  </si>
  <si>
    <t>Descripción general</t>
  </si>
  <si>
    <t>SGP</t>
  </si>
  <si>
    <t>Economía</t>
  </si>
  <si>
    <t>Educación</t>
  </si>
  <si>
    <t>Finanzas públicas</t>
  </si>
  <si>
    <t>Justicia y derecho</t>
  </si>
  <si>
    <t>Medición de desempeño municipal</t>
  </si>
  <si>
    <t>Mercado laboral</t>
  </si>
  <si>
    <t>Ordenamiento territorial</t>
  </si>
  <si>
    <t>Percepción ciudadana</t>
  </si>
  <si>
    <t>Pobreza</t>
  </si>
  <si>
    <t>Presupuesto general de la nación</t>
  </si>
  <si>
    <t>Salud</t>
  </si>
  <si>
    <t>Seguridad integral marítima y fluvial</t>
  </si>
  <si>
    <t>Vivienda y acceso a servicios públicos</t>
  </si>
  <si>
    <t xml:space="preserve">6.1 Definir un lineamiento para la inclusión de los asuntos de la agenda de género en al menos las sesiones ordinarias de los Comités de Gestión y Desempeño Institucional de las entidades públicas  que permita generar herramientas prácticas para coordinar desde estas instancias la incorporación del enfoque de género en las acciones estratégicas y misionales de cada entidad. </t>
  </si>
  <si>
    <t>6.3  Diseñar y socializar una ruta de creación de instancias de representación de las mujeres a nivel territorial y articulación de estas con las instancias y los procesos de política a nivel nacional</t>
  </si>
  <si>
    <t>Gheidy Gallo Santos</t>
  </si>
  <si>
    <t>Alexander Jaimes Medina</t>
  </si>
  <si>
    <t>6.5 Fomentar el uso del Proyecto Tipo de Regalías Mujer  para el direccionamiento de recursos para el cumplimiento de la política de la mujer en los territorios y el mejoramiento de las condiciones de las mujeres por parte de Gobernaciones y Alcaldías</t>
  </si>
  <si>
    <t>alexander.jaimes@mininterior.gov.co</t>
  </si>
  <si>
    <t>6.6  Diseñar, socializar e implementar con las direcciones técnicas de la entidad y las entidades del nivel nacional y territorial, una metodología para incorporar la perspectiva de género en el proceso de formulación de los proyectos de inversión. Esta metodología se implementará en las herramientas de inversión pública, para que las entidades  puedan dar cuenta de cómo se introducen los análisis de género desde el diagnóstico hasta la definición de indicadores. El DNP emitirá una circular para las entidades, que socialice la metodología y sus requerimientos.</t>
  </si>
  <si>
    <t xml:space="preserve">6.8 Diseñar e implementar una encuesta que permita contar con datos estadísticos sobre violencia contra las mujeres en Colombia, en línea con los estándares internacionales y las necesidades de información en el país. </t>
  </si>
  <si>
    <t>6.9 Crear la red de observatorios orientados a apoyar los estudios de género del nivel nacional y regional, con el fin de intercambiar buenas prácticas y establecer estándares de calidad que permitan la toma de decisiones territoriales y alimenten los sistemas de información del orden nacional.</t>
  </si>
  <si>
    <t>6.10 Crear el capítulo específico de género en el Observatorio del Deporte impulsando en específico la producción de  datos,  diseño de indicadores de evaluación con enfoque de género e investigación académica especializada en temas de equidad de género en el sector DRAF.</t>
  </si>
  <si>
    <t xml:space="preserve">6.13 Adelantar, en el marco de la agenda anual de evaluaciones de la entidad, evaluaciones estratégicas de política pública con enfoque de género. </t>
  </si>
  <si>
    <t xml:space="preserve">6.14 Desarrollar un programa de capacitación para fortalecer los conocimientos y competencias en la integración del enfoque de género en los procesos de diseño, formulación, planeación, seguimiento y evaluación de políticas, programas y proyectos, dirigido a diversos actores en el nivel nacional y territorial. </t>
  </si>
  <si>
    <t>6.15 Formular y ejecutar, en coordinación con las entidades que conforman la Comisión Intersectorial de Cambio Climático (CICC) y otras partes interesadas, un Plan de Acción de Género y Cambio Climático (PAGCC) el cual incluirá actividades e indicadores específicos para fortalecer la integración sistemática del enfoque de género en las políticas y medidas relacionadas con la gestión del cambio climático, así como la creación de arreglos institucionales y capacidad instalada para tal fin.</t>
  </si>
  <si>
    <t>6.4 Fortalecer territorialmente la implementación y sostenibilidad del programa nacional de Casas de Mujeres Empoderadas para garantizar oferta integral de servicios.</t>
  </si>
  <si>
    <t>$ 11,84</t>
  </si>
  <si>
    <t>$ 12,2</t>
  </si>
  <si>
    <t>$ 12,5</t>
  </si>
  <si>
    <t>$ 12,3</t>
  </si>
  <si>
    <t>Porcentaje de avance en la coordinación del diseño e implementación de una estrategia que permita el fortalecimiento político, social y económico de las organizaciones de mujeres en la construcción de la paz.</t>
  </si>
  <si>
    <t>PGN - Funcionamiento</t>
  </si>
  <si>
    <t>5.9 Implementar estrategias para el fortalecimiento de capacidades institucionales en materia de género en entidades del Estado involucradas en el Proceso de Reincorporación.</t>
  </si>
  <si>
    <t>5.10 Realizar espacios de sensibilización entre liderazgos en programas de sustitución voluntaria frente a las ganancias colectivas de la inclusión del enfoque de género y la participación de las mujeres en la sustitución voluntaria de cultivos ilícitos.</t>
  </si>
  <si>
    <t>5.11 Realizar estrategias de fortalecimiento comunitario y reconocimiento de roles de género en el trabajo doméstico y las labores de cuidado para promover el liderazgo femenino</t>
  </si>
  <si>
    <t>5.14 Adelantar espacios de incidencia y socialización con entidades del orden nacional sobre el capítulo de las experiencias de mujeres y personas LGBTIQ+ en el conflicto armado interno y las recomendaciones para la no repetición en los ejes definidos, antes de que finalice su mandato.</t>
  </si>
  <si>
    <t>5.16 Diseñar e implementar la segunda fase del Plan de Acción del Programa Integral de Garantías para Lideresas y Defensoras de Derechos Humanos 2023-2025.</t>
  </si>
  <si>
    <t>5.17 Diseñar e implementar de estrategias para el fortalecimiento del enfoque de género en los planes de prevención territorial teniendo en cuenta el enfoque diferencial étnico.</t>
  </si>
  <si>
    <t>5.18 Estructurar una estrategia de autoprotección, autocuidado y bienestar emocional dirigido a mujeres lideresas y defensoras de derechos humanos.</t>
  </si>
  <si>
    <t>5.19 Identificar y promover buenas prácticas en la participación de las mujeres en las circunscripciones transitorias especiales de paz.</t>
  </si>
  <si>
    <t>5.21  Fortalecer las Oficinas, Áreas y Grupos de Género en la Fuerza Pública, como medida clave de institucionalización del enfoque de género.</t>
  </si>
  <si>
    <t>5.25 Implementar la Estrategia de Turismo Responsable con acciones de prevención y erradicación de la Explotación Sexual Comercial de Niñas, Niños y Adolescentes (ESCNNA) en contextos de viajes y turismo con un enfoque diferencial y de género.</t>
  </si>
  <si>
    <t>5.26 Apoyar proyectos para la generación de excedentes agropecuarios,  formulados por mujeres titulares de hogares desplazados participantes del programa Familias en su Tierra -FEST mediante acompañamiento técnico, entrega de incentivos condicionados y seguimiento a los proyectos.</t>
  </si>
  <si>
    <t xml:space="preserve">4.1 Implementar  estrategias de sensibilización y transformación cultural de estereotipos de género  para servidores públicos de las entidades del nivel nacional y territorial, incluyendo la expedición  del acto administrativo del programa de sensibilización y transformación cultural de estereotipos de género, en los procesos de ingreso a la Función Pública. </t>
  </si>
  <si>
    <t xml:space="preserve">4.3 Consolidar la línea 155, canal telefónico permanente de orientación a mujeres víctimas de violencias, o en riesgo de serlo, a nivel nacional, con el objetivo de fortalecer los procesos de orientación a las mujeres y hacerlos más efectivos.  </t>
  </si>
  <si>
    <t xml:space="preserve">4.10 Desarrollar una estrategia de fortalecimiento de organizaciones de la sociedad civil y generación de redes de liderazgos territoriales, que apoyen en el proceso de reconocimiento y prevención de las Violencias Basadas en Género y la identificación de las rutas de acceso a la justicia. </t>
  </si>
  <si>
    <t xml:space="preserve">4.11  Desarrollar e implementar una estrategia de sensibilización, capacitación y formación interna (contratistas y servidores públicos) así como externas a organismos del Sistema Nacional del Deporte para cualificar sus competencias en la prevención, atención y erradicación de las violencias basadas en género desde los enfoques de género y diferencial. </t>
  </si>
  <si>
    <t>Jonathan Ardila; Alfonso Araujo</t>
  </si>
  <si>
    <t xml:space="preserve">2.14 Desarrollar asistencias técnicas para fortalecer la inclusión de mujeres al interior de los estatutos de federaciones y la confederación comunal. </t>
  </si>
  <si>
    <t>Porcentaje de avance en la elaboración y divulgación de los  lineamientos de los contenidos temáticos para que los actores del Sistema General de Seguridad Social en Salud adelanten las acciones de información; educación y comunicación en el marco de las RIAS y las Guías Alimentarias Basadas en Alimentos.</t>
  </si>
  <si>
    <t>Objetivo 1: Aumentar las oportunidades de autonomía económica para las mujeres desde diversos ámbitos, eliminando las barreras aún existentes y dando continuidad a las políticas adelantadas con este propósito.</t>
  </si>
  <si>
    <t>Objetivo 3: Generar intervenciones públicas que mejoren la salud física y mental de las mujeres, con el fin de brindarles una mejor calidad de vida.</t>
  </si>
  <si>
    <t xml:space="preserve">Objetivo 4: Fortalecer la política para prevenir y atender de manera integral las violencias contra las mujeres, para asegurar que tengan una vida libre de violencias. </t>
  </si>
  <si>
    <t>Objetivo 5: Adelantar estrategias para la implementación de la Resolución 1325 con el fin de afianzar el liderazgo de las mujeres en la construcción de paz y la agenda de seguridad en el marco de la Resolución 1325.</t>
  </si>
  <si>
    <t>Objetivo 6: Fortalecer la institucionalidad para transversalizar el enfoque de género en los asuntos estratégicos de lo público para avanzar en el logro de la equidad para las mujeres desde el accionar del Estado.</t>
  </si>
  <si>
    <t>Sí, 1.2</t>
  </si>
  <si>
    <t>[Número de iniciativas priorizadas* que incorporan criterios para dar puntajes adicionales a mujeres en los términos de referencia] / [Número de iniciativas de investigación priorizadas**] x 100
*: En las que deberán incluirse aquellas dirigidas a las de apropiación social del conocimiento, vocaciones científicas en niños, niñas, adolescentes y jóvenes y en investigación-creación 
**: En las que deberán incluirse aquellas dirigidas a las de apropiación social del conocimiento, vocaciones científicas en niños, niñas, adolescentes y jóvenes y en investigación-creación, e innovación  que incorporan criterios para dar mayor puntaje a las mujeres</t>
  </si>
  <si>
    <t>Sumatoria del porcentaje de avance en la implementación de una estrategia de articulación entre entidades de Gobierno para  la ampliación del alcance de Red de Mentoras STEM 
Hito 1. Documento balance de la Red de Mentoras STEM 2020 - 2022=30%.
Hito 2. Documento que contenga ruta de acción interinstitucional=30%.
Hito 3. Propuesta de apropiación de iniciativa por parte de entidades estratégicas=40%.</t>
  </si>
  <si>
    <t>Sí, 1.15</t>
  </si>
  <si>
    <t>Departamento Administrativo de la Presidencia de la República; Ministerio de Tecnologías de la Información y las Comunicaciones</t>
  </si>
  <si>
    <t>Consejería Presidencial para la Equidad de la Mujer; Oficina Asesora de Planeación</t>
  </si>
  <si>
    <t>Gheidy Gallo Santos; Juddy Amado Sierra</t>
  </si>
  <si>
    <t>gheidygallo@presidencia.gov.co; jamado@mintic.gov.co</t>
  </si>
  <si>
    <t>Sumatoria de mujeres, niñas y jóvenes formadas en uso y apropiación de las TIC y en el desarrollo de habilidades digitales, teniendo en consideración variables como la edad, el grupo étnico, el contexto urbano - rural, el nivel educativo y capacidades de aprendizaje diversos.  
Nota: las metas no incluyen el valor de la línea base.</t>
  </si>
  <si>
    <t>Sumatoria del porcentaje de avance del diseño e implementación de la estrategia articulada que promueva la inserción laboral de las mujeres priorizando los sectores tradicionalmente masculinizados y otros que representen alto potencial de empleabilidad, en contextos urbanos y rurales
Hito 1. Realizar un estudio que permita identificar y analizar la vinculación laboral de las mujeres, priorizando los sectores tradicionalmente masculinizados y otros que representen alto potencial de empleabilidad en contextos urbanos y rurales, que aporten insumos para la toma de decisiones relacionas con la empleabilidad de las mujeres. Este documento deberá contener un diagnóstico y las líneas de acción a desarrollar, las cuales deberán tener en cuenta la implementación de pilotos con sectores priorizados a partir de los análisis, y la conformación de una mesa intersectorial para la articulación de las acciones=40%.
Hito 2. Socialización y validación, con las diferentes entidades asociadas a esta acción, del documento final del estudio que permita identificar y analizar la vinculación laboral de las mujeres, priorizando los sectores tradicionalmente masculinizados y otros que representen alto potencial de empleabilidad en contextos urbanos y rurales=10%.
Hito 3. Informes de implementación y ajustes de la estrategia [7% anual entre 2025 y 2029 y 15% en 2030]=50%.</t>
  </si>
  <si>
    <t>Porcentaje de avance en el diseño e implementación de una estrategia para garantizar la vocación de permanencia y sostenibilidad del Fondo Mujer Emprende.</t>
  </si>
  <si>
    <t>Porcentaje de avance en el diseño e implementación de la Unidad* de Data y Analítica del Fondo Mujer Emprende
*: Esta unidad hará uso de  herramientas y tecnología de punta para conectar la oferta pública y privada del ecosistema de emprendimiento con la demanda ( Emprendedoras y Empresarias).</t>
  </si>
  <si>
    <t>Sumatoria del porcentaje de avance en el diseño e implementación de la Unidad* de Data y Analítica del Fondo Mujer Emprende
Hito 1. Detección y análisis de necesidades de data y analítica año 2022=20%.
Hito 2. Diseño del Sistema de Información  del ecosistema  2023=10%.
Hito 3. Implementación de la Unidad de Data y Analítica del FME  año 2024 a 2029=60% [10% cada año].
Hito 4. Informe final de implementación de la Unidad de Data y Analítica del Fondo Mujer Emprende año 2030=10%.</t>
  </si>
  <si>
    <t>Sumatoria del número de empresas fortalecidas de mujeres.</t>
  </si>
  <si>
    <t>Número de empresas fortalecidas de mujeres.</t>
  </si>
  <si>
    <t>Porcentaje de avance en la consolidación, actualización y cofinanciación del Banco de Proyectos Productivos de mujeres.</t>
  </si>
  <si>
    <t>Sumatoria del porcentaje de avance en la consolidación, actualización y cofinanciación del Banco de Proyectos Productivos de mujeres
Hito 1. Estructuración de los primeros 100 proyectos productivos del FME año 2022=11%.
Hito 2. Cofinanciación de algunos de los 100  proyectos productivos del FME (Dependiendo de la disponibilidad de recursos y cumplimiento de requisitos) 2023=11%.
Hito 3. Consolidación, actualización y cofinanciación del Banco de Proyectos Productivos del FME año 2024 a 2029=67% [11% cada año].
Hito 4. Informe final la consolidación, actualización y cofinanciación del Banco de Proyectos Productivos del FME año 2030=11%.</t>
  </si>
  <si>
    <t>Porcentaje de avance en el diseño e implementación del portafolio de productos y servicios financieros para el segmento mujer.</t>
  </si>
  <si>
    <t>Sumatoria del porcentaje de avance en el diseño e implementación del portafolio de productos y servicios financieros para el segmento mujer
Hito 1. Presentar los resultados de los  productos y servicios financieros para el segmento mujer con enfoque de género desarrollados con FINAGRO y BANCOLDEX por el FME año 2022=11%.
Hito 2. Diseñar e implementar productos y servicios financieros para el segmento mujer con enfoque de género   año 2023 a 2029=78% [11% cada año].
Hito 3. Informe final con los resultados de los productos y servicios financieros con enfoque de género diseñados e implementados por el FME año 2030=11%.</t>
  </si>
  <si>
    <t>Sumatoria del número de inversionistas extranjeros que vinculen como proveedores a emprendimientos destacados.</t>
  </si>
  <si>
    <t>Porcentaje de avance en la elaboración del estudio sobre las condiciones de acceso al crédito, buscando identificar posibles diferencias entre deudores hombres y mujeres.</t>
  </si>
  <si>
    <t>Porcentaje de participación y fortalecimiento de mujeres en la oferta institucional de la ANT.</t>
  </si>
  <si>
    <t>Estrategia diseñada e implementada.</t>
  </si>
  <si>
    <t>Porcentaje de avance en la operación e implementación del Fondo de Fomento para las Mujeres Rurales (FOMMUR).</t>
  </si>
  <si>
    <t>Sumatoria del porcentaje de avance en la operación e implementación del Fondo de Fomento para las Mujeres Rurales (FOMMUR)
Hito 1. Alistamiento para la operación del FOMMUR e informe de avance en 2022=10%.
Hito 2. Implementación del FOMMUR en cualquiera de las cuatro líneas de cofinanciación a partir del 2023 hasta 2030=80% [10% por año].
Hito 3. Desarrollo de una evaluación de medio término sobre el estado de avance en la implementación con base en metas e indicadores establecidos en 2030=10%.</t>
  </si>
  <si>
    <t>Porcentaje de avance en el diseño e implementación de instrumentos financieros y no financieros para emprendimientos de mujeres que atienda la línea de sostenibilidad ambiental, en las áreas de conservación, adaptación al cambio climático y bioeconomía.</t>
  </si>
  <si>
    <t>Hector Fabio Espinoza Tilmans</t>
  </si>
  <si>
    <t>Ministerio de Agricultura y Desarrollo Rural; Fondo para El Financiamiento del Sector Agropecuario; Banco Agrario de Colombia S.A.</t>
  </si>
  <si>
    <t>Dirección de Financiamiento y Riesgos Agropecuarios; Gerencia de Planeación; Gerencia de Ventas de Banco Agrario</t>
  </si>
  <si>
    <t xml:space="preserve">Luis Felipe Duarte; Juan Carlos Restrepo; José Agustín Espinel </t>
  </si>
  <si>
    <t>luis.duarte@minagricultura.gov.co; jrestrepo@finagro.com.co; jose.espinel@bancoagrario.gov.co</t>
  </si>
  <si>
    <t>Porcentaje de participación en operaciones de crédito con tasa subsidiada (Líneas Especiales de crédito - LEC) para mujeres rurales.</t>
  </si>
  <si>
    <t>Porcentaje de participación en operaciones de crédito con tasa subsidiada (Líneas Especiales de crédito - LEC) para mujeres rurales.
Nota: durante el seguimiento se especificará de forma explícita, el numerador y denominador de la fórmula de cálculo.</t>
  </si>
  <si>
    <t>Número de mujeres rurales que culminan el curso de educación económica y financiera "Mis Finanzas Cuentan".
Nota: las metas no incluyen línea base.</t>
  </si>
  <si>
    <t>jonathan.ardila@ica.gov.co; alfonso.araujo@ica.gov.co</t>
  </si>
  <si>
    <t>Sumatoria del número de apoyos a iniciativas productivas de asociaciones u organizaciones de mujeres.
Nota: las metas no incluyen el valor de la línea base.</t>
  </si>
  <si>
    <t>(Número de mujeres participantes en las actividades de divulgación en el año / Meta de participación de mujeres en las actividades de divulgación en el año) x 100</t>
  </si>
  <si>
    <t>Porcentaje de operaciones de crédito a mujeres rurales por con primera vez.</t>
  </si>
  <si>
    <t>(Número de operaciones de crédito a mujeres rurales colocadas en el año / Meta de operaciones de crédito a mujerea rurales por primera vez) x 100</t>
  </si>
  <si>
    <t>Sumatoria de porcentaje de avance en el diseño y aplicación de una encuesta de mujeres rurales con el servicio público de adecuación de tierras.
Hito 1. Elaboración de encuesta de mujeres rurales con el servicio público de adecuación de tierras=50%​.
Hito 2. Aprobación de los instrumentos de recolección de información=50%​.</t>
  </si>
  <si>
    <t>Sumatoria del número de documentos de lineamientos de política pública elaborados en favor de las mujeres rurales derivados de resultados previos de estudios técnicos e investigaciones del sector.
Nota: las metas no incluyen el valor de la línea base.</t>
  </si>
  <si>
    <t>Porcentaje de avance en el ajuste de los instrumentos para la profundización del Crédito LEC en favor de la Mujer rural.</t>
  </si>
  <si>
    <t>Luis Gabriel Peñaranda; Alejandra Salazar; Ana María Rodriguez Romero; Mauricio Acosta</t>
  </si>
  <si>
    <t>Unidad Asesora de Planeación; Grupo De Trabajo Género, Etnias y Democracia Inclusiva; Centro de Estudios en Democracia y Asuntos Electorales; Dirección para la Democracia, Participación Ciudadana y Acción Comunal</t>
  </si>
  <si>
    <t xml:space="preserve">lgpenaranda@cne.gov.co; masalazar@registraduria.gov.co; amrodriguez@registraduria.gov.co; mauricio.acosta@mininterior.gov.co
</t>
  </si>
  <si>
    <t>Dirección de Empleo Público; Consejería Presidencial para la Equidad de la Mujer</t>
  </si>
  <si>
    <t>lgpenaranda@cne.gov.co; amrodriguez@registraduria.gov.co</t>
  </si>
  <si>
    <t xml:space="preserve">2.6 Elaborar y difundir un informe bienal que dé cuenta de los hechos de violencia que enfrentan las mujeres en su ejercicio político desde una mirada cualitativa y cuantitativa, a través del observatorio de la Violencia Contra las Mujeres en Política, el cual hace parte del Observatorio Colombiano de las Mujeres. </t>
  </si>
  <si>
    <t>Número de informes bienales elaborados y difundidos que dan cuenta de los hechos de violencia que enfrentan las mujeres en su ejercicio político desde una mirada cualitativa y cuantitativa.</t>
  </si>
  <si>
    <t>Sumatoria de informes bienales elaborados y difundidos que dan cuenta de los hechos de violencia que enfrentan las mujeres en su ejercicio político desde una mirada cualitativa y cuantitativa.</t>
  </si>
  <si>
    <t>Sumatoria del porcentaje de avance en la consolidación del modelo de formación de la Escuela Mujeres Lidesas por Colombia como una iniciativa de educación no formal orientada a promover la participación política de las mujeres para cargos de representación popular
Hito 1. Actualización del modelo de formación para que integre modalidad virtual y presencial e inclusión de nuevos contenidos=50%.
Hito 2. Realizar informe de transferencia del modelo de formación a Universidades, entidades nacionales y territoriales=20%.
Hito 3. Elaborar documentos de seguimiento a transferencia del modelo de formación de la Escuela Mujeres Lidesas por Colombia=20%.
Hito 4. Elaborar documento con balance de la implementación del modelo de formación y de su impacto en la representación de las mujeres en los cargos de elección popular=10%.</t>
  </si>
  <si>
    <t>Subdirección de Enfermedades No Transmisibles;  Consejería Presidencial para la Equidad de la Mujer</t>
  </si>
  <si>
    <t>Nubia Esperanza Bautista Bautista; Gheidy Gallo Santos</t>
  </si>
  <si>
    <t>nbautista@minsalud.gov.co; gheidygallo@presidencia.gov.co</t>
  </si>
  <si>
    <t xml:space="preserve">Sumatoria del porcentaje de avance en la implementación e institucionalización de procesos de sensibilización y transformación cultural de estereotipos de género en la ciudadanía, especialmente servidores públicos de las entidades del nivel nacional y territorial
Hito 1. Ampliar cobertura del programa de formación en modalidad virtual y/o presencial para la sensibilización y transformación cultural de estereotipos de género, en articulación con los mecanismos de género territoriales=50%.
Hito 2. Formulación de acto administrativo para implementación del programa de sensibilización y transformación cultural de estereotipos de género,  en los procesos de ingreso a la función pública=50%.
*Nota: La línea base corresponde a los contenidos pedagógicos del programa de formación existentes hasta el momento para la sensibilización y transformación cultural de estereotipos de género en la ciudadanía. </t>
  </si>
  <si>
    <t>Sumatoria de porcentaje avance en ampliación de la medición periódica de la prevalencia o cambios frente a la tolerancia a imaginarios, actitudes y prácticas que normalizan la violencia contra las mujeres, tanto en la sociedad como en funcionarios
Hito 1. Ajuste de metodología para ampliar cobertura geográfica y frecuencia temporal de medición de la prevalencia o cambios frente a la tolerancia a imaginarios, actitudes y prácticas que normalizan la violencia contra las mujeres, tanto en la sociedad como en funcionarios=30%.
Hito 2. Aplicación  con mayor cobertura geográfica y frecuencia temporal de medición de la prevalencia o cambios frente a la tolerancia a imaginarios, actitudes y prácticas que normalizan la violencia contra las mujeres, tanto en la sociedad como en funcionarios=50%.
Hito 3. Socialización de resultados=20%.</t>
  </si>
  <si>
    <t>Departamento Administrativo de la Presidencia de la República; Ministerio de Defensa Nacional</t>
  </si>
  <si>
    <t>Consejería Presidencial para la Equidad de la Mujer; Policía Nacional|Observatorio de Derechos Humanos; Policía Nacional|Coordinación Línea 155 de Orientación a Mujeres Víctimas de Violencia</t>
  </si>
  <si>
    <t>Gheidy Gallo; T.C Mary Luz Pinzón Benavides; I. Jimmy Ricardo Duran Riaño</t>
  </si>
  <si>
    <t>gheidygallo@presidencia.gov.co; mary.pinzon@correo.policia.gov.co; jimmy.duran@correo.policia.gov.co</t>
  </si>
  <si>
    <t>Sumatoria de porcentaje de avance en la consolidación de la línea telefónica permanente de orientación a mujeres víctimas de violencias, o en riesgo de serlo, a nivel nacional
Hito 1. Actualización y fortalecimiento de alianzas estratégicas para sostenibilidad de la línea telefónica permanente de orientación a mujeres víctimas de violencias, o en riesgo de serlo, a nivel nacional=40%. 
Hito 2. Documento con potencialidades de la línea telefónica permanente de orientación a mujeres víctimas de violencias, o en riesgo de serlo, a nivel nacional=25%.
Hito 3. Difusión para el uso de la línea telefónica permanente de orientación a mujeres víctimas de violencias, o en riesgo de serlo, a nivel nacional=35%.</t>
  </si>
  <si>
    <t xml:space="preserve">4.4 Implementar y fortalecer el Mecanismo Articulador a nivel nacional y territorial, para lo cual se elaborarán lineamientos en cada uno de los Comités de Promoción y Prevención, Atención Integral, Protección, Cualificación y Acceso a la Justicia y de Sistemas de Información, así como para garantizar la participación de la sociedad civil.  
</t>
  </si>
  <si>
    <t>Ministerio de Justicia y del Derecho; Departamento Administrativo de la Presidencia de la República</t>
  </si>
  <si>
    <t>Dirección de Justicia Formal; Consejería Presidencial para la Equidad de la Mujer</t>
  </si>
  <si>
    <t>Diego Llanos; Gheidy Gallo</t>
  </si>
  <si>
    <t>Número de asistencias técnicas a las comisarías de familia realizadas.</t>
  </si>
  <si>
    <t>Sumatoria del número de asistencias técnicas a las comisarías de familia realizadas.
Nota: las metas no incluyen el valor de la línea base.</t>
  </si>
  <si>
    <t>Ministerio de Justicia y del Derecho; Instituto Nacional Penitenciario y Carcelario</t>
  </si>
  <si>
    <t>Dirección de Política Criminal; Dirección de Atención y Tratamiento Penitenciario</t>
  </si>
  <si>
    <t>Mireya Martín; Roselin Martinez Rosales</t>
  </si>
  <si>
    <t>mireya.martin@minjusticia.gov.co; roselin.martinez@inpec.gov.co</t>
  </si>
  <si>
    <t>Porcentaje de avance en el desarrollo del programa para el fortalecimiento de la perspectiva de género para la mujer privada de la libertad en el sistema penitenciario y carcelario.</t>
  </si>
  <si>
    <t>Sumatoria del porcentaje de avance en el desarrollo del programa para el fortalecimiento de la perspectiva de género para la mujer privada de la libertad en el sistema penitenciario y carcelario
Hito 1. Un documento que contenga lineamientos de tratamiento penitenciario con enfoque perspectiva de género para la mujer privada de la libertad que el INPEC deberá implementar=30%.
Hito 2. Implementación de los lineamientos de tratamiento penitenciario con enfoque perspectiva de género para la mujer privada de la libertad a cargo del INPEC=30%.
Hito 3. Informe de seguimiento de la implementación de los lineamientos de tratamiento penitenciario con enfoque de género para la mujer privada de la libertad=20%.
Hito 4. Informe de evaluación de resultados y ajustes de los lineamientos de tratamiento penitenciario con enfoque de género para la mujer privada de la libertad=20%.</t>
  </si>
  <si>
    <t>Fiscalía General de la Nación</t>
  </si>
  <si>
    <t>Dirección de Atención al Usuario, Intervención temprana y Asignaciones; Delegada para la seguridad Territorial</t>
  </si>
  <si>
    <t>Laura Currea; Martha Andrea Romero; Carolina Acuña; Eduardo Duarte</t>
  </si>
  <si>
    <t>laura.currea@fiscalia.gov.co; andrea.romero@fiscalia.gov.co; diana.acuna@fiscalia.gov.co; eduardo.duarte@fiscalia.gov.co</t>
  </si>
  <si>
    <t xml:space="preserve">4.7 Desarrollar e implementar lineamientos de identificación y seguimiento a casos de mujeres victimas de violencia sexual, violencia intrafamiliar y tentativas de feminicidio con riesgo grave o extremo, con el propósito de darles especial tratamiento, priorización y celeridad.  </t>
  </si>
  <si>
    <t>Porcentaje de avance en el desarrollo e implementación de lineamientos de identificación y seguimiento a casos de mujeres victimas de violencia sexual, violencia intrafamiliar y tentativas de feminicidio con riesgo grave o extremo.</t>
  </si>
  <si>
    <t>Sumatoria del porcentaje de avance en el desarrollo e implementación de lineamientos de identificación y seguimiento a casos de mujeres victimas de violencia sexual, violencia intrafamiliar y tentativas de feminicidio con riesgo grave o extremo
Hito 1. Elaboración de lineamiento=40%.
Hito 2. Validación interdependencias y aprobación por parte de DAUITA=20%.
Hito 3. Publicación=10%.
Hito 4. Informe de avance de la Implementación del lineamiento=30%.</t>
  </si>
  <si>
    <t>Sumatoria del número de documentos de estrategia de priorización anual para el impulso judicial en los procesos de violencia sexual, violencia intrafamiliar y feminicidio elaborados.</t>
  </si>
  <si>
    <t>Número de documentos de estrategia de priorización anual para el impulso judicial en los procesos de violencia sexual, violencia intrafamiliar y feminicidio elaborados.</t>
  </si>
  <si>
    <t>Porcentaje de avance de elaboración y publicación de orientaciones para la formación especializada de los funcionarios con competencia en prevención, sanción, investigación y atención de violencias basadas en género, tanto a nivel nacional como territorial.</t>
  </si>
  <si>
    <t>Sumatoria de porcentaje de avance de elaboración y publicación de orientaciones para la formación especializada de los funcionarios con competencia en prevención, sanción, investigación y atención de violencias basadas en género, tanto a nivel nacional como territorial
Hito 1. Documento técnico borrador con orientaciones para la formación especializada de los funcionarios con competencia en prevención, sanción, investigación y atención de violencias basadas en género, tanto a nivel nacional como territorial=20%.
Hito 2. Documento técnico final con orientaciones para la formación especializada de los funcionarios con competencia en prevención, sanción, investigación y atención de violencias basadas en género, tanto a nivel nacional como territorial=40%.
Hito 3. Publicación de orientaciones para la formación especializada de los funcionarios con competencia en prevención, sanción, investigación y atención de violencias basadas en género, tanto a nivel nacional como territorial=40%.</t>
  </si>
  <si>
    <t>Dirección de Justicia Formal; Consejería Presidencial  para la Equidad de la Mujer</t>
  </si>
  <si>
    <t>Número de municipios con estrategia implementada.</t>
  </si>
  <si>
    <t>Porcentaje de avance en el diseño e implementación de una estrategia de sensibilización y capacitación internas (contratistas, servidoras y servidores públicos) así como externas a organismos del Sistema Nacional del Deporte para cualificar sus competencias en la prevención, atención y erradicación de las violencias basadas en género desde los enfoques de género y diferencial.</t>
  </si>
  <si>
    <t>Sumatoria del porcentaje de avance en el diseño e implementación de una estrategia de sensibilización y capacitación internas (contratistas, servidoras y servidores públicos) así como externas a organismos del Sistema Nacional del Deporte para cualificar sus competencias en la prevención, atención y erradicación de las violencias basadas en género desde los enfoques de género y diferencial
Hito 1. Documento con la definición de la estrategia=30%.
Hito 2. Socialización de la estrategia=10%.
Hito 3. Creación de sección pedagógica general en los Cursos de la EVD=10%.
Hito 4. Informe que dé cuenta del número de contratistas, servidores públicos y personal relacionado al Sistema Nacional del Deporte capacitados en la prevención, atención y erradicación de las violencias basadas en género desde variables con enfoque de género y diferencial=10%. (2 informes anuales)
Hito 5. Informe de análisis que dé cuenta  de la implementación de la estrategia=40%. (1 informe anual)</t>
  </si>
  <si>
    <t>Número de socializaciones realizadas del Programa Casa Libertad con 32 entidades territoriales.</t>
  </si>
  <si>
    <t>Sumatoria del número de socializaciones realizadas del Programa Casa Libertad con 32 entidades territoriales.
Nota: las metas no incluyen el valor de la línea base.</t>
  </si>
  <si>
    <t>Grupo de Derechos Sexuales y Reproductivos; Consejería Presidencial para la Equidad de la Mujer</t>
  </si>
  <si>
    <t>Ricardo Luque; Gheidy Gallo</t>
  </si>
  <si>
    <t>rluque@minsalud.gov.co; gheidygallo@presidencia.gov.co</t>
  </si>
  <si>
    <t>Número de entidades territoriales con la estrategia de análisis territorial de las violencias contra las mujeres.</t>
  </si>
  <si>
    <t>Sumatoria del número de entidades territoriales con la estrategia de análisis territorial de las violencias contra las mujeres.</t>
  </si>
  <si>
    <t xml:space="preserve">Unidad de Desarrollo y Análisis Estadístico </t>
  </si>
  <si>
    <t>Sumatoria del porcentaje de avance del plan estratégico de protección integral y restablecimiento de derechos deportivos a mujeres y niñas de violencia basada en género en el sector DRAF
Hito 1. Documento con la definición de la estrategia=30%.
Hito 2. Informe que dé cuenta de guías de buena gobernanza en  equidad de género en el deporte=30%.
Hito 3. Informes que den cuenta de la implementación de la estrategia=40% (2 informes al año).</t>
  </si>
  <si>
    <t>Porcentaje de avance en la estructuración y puesta en marcha una estrategia de comunicación digital.</t>
  </si>
  <si>
    <t>Ministerio de Transporte; Instituto Nacional de Vías; Agencia Nacional de Infraestructura; Superintendencia de Transporte</t>
  </si>
  <si>
    <t xml:space="preserve">Grupo de Asuntos Ambientales y Desarrollo Sostenible; Subdirección de sostenibilidad; Equipo de trabajo de Equidad de Genero; Oficina Asesora Jurídica
</t>
  </si>
  <si>
    <t xml:space="preserve">Juan David Roldán; Julian Leyva; Monica Franco Toro; María Fernanda Serna
</t>
  </si>
  <si>
    <t xml:space="preserve">jdroldan@mintransporte.gov.co; jleyva@invias.gov.co; mfranco@ani.gov.co; mariaserna@supertransporte.gov.co
</t>
  </si>
  <si>
    <t>Porcentaje de avance del diseño y socialización de una estrategia para la prevención, atención y sanción social de la violencia contra las mujeres en el espacio público y el transporte haciendo especial énfasis en el acoso sexual.</t>
  </si>
  <si>
    <t>Sumatoria del porcentaje de avance del diseño y socialización de una estrategia para la prevención, atención y sanción social de la violencia contra las mujeres en el espacio público y el transporte haciendo especial énfasis en el acoso sexual
Hito 1. Documento con el diseño de la estrategia de prevención, atención y sanción social de las violencias contra las mujeres que ocurren en el espacio público y el transporte, que incluya la formulación de un protocolo y la adopción de códigos de conducta e instrumentos de cero tolerancia de las violencias contras las mujeres y explotación sexual hacia mujeres, niñas y adolescentes; alineados con el Plan de Adaptación del Plan de Manejo Ambiental para los proyectos de Infraestructura de Transporte=35%.
Hito 2. Socialización con distintos grupos de interés, de manera principal  con el Mecanismo articulador para el abordaje de las violencias por razones de sexo y género, el documento de la estrategia de prevención, atención y sanción social de las violencias contra las mujeres que ocurren en el espacio público y transporte=15%.
Hito 3. Informes de avance de la implementación de la estrategia de prevención, atención y sanción social de la violencia contra las mujeres que ocurren en el espacio público y transporte=50%.</t>
  </si>
  <si>
    <t>Oficinas y Grupos de Género</t>
  </si>
  <si>
    <t>Porcentaje de avance en el desarrollo de procesos de formación en género para la prevención de violencias basadas en género.</t>
  </si>
  <si>
    <t>Policía Nacional; Departamento Administrativo de la Presidencia de la República</t>
  </si>
  <si>
    <t>Jefatura del Servicio de Policía; Consejería Presidencial para la Equidad de la Mujer</t>
  </si>
  <si>
    <t>Mayor General HERMAN ALEJANDRO BUSTAMANTE JIMÉNEZ; Gheidy Gallo</t>
  </si>
  <si>
    <t>Número de visitas realizadas a víctimas de acuerdo a las medidas de protección existentes.</t>
  </si>
  <si>
    <t>Sumatoria del número de visitas realizadas a víctimas de acuerdo a las medidas de protección existentes.</t>
  </si>
  <si>
    <t>Sumatoria de porcentaje de avance en el diseño y socialización de rutas intersectoriales de prevención y atención integral de violencia contra mujeres con enfoque étnico, de diversidad sexual y de discapacidad
Hito 1. Documento de diagnóstico para la elaboración de rutas intersectoriales de prevención y atención integral de violencia contra mujeres con enfoque étnico, de diversidad sexual y de discapacidad=30%.
Hito 2. Diseño y construcción de las rutas intersectoriales de prevención y atención integral de violencia contra mujeres con enfoque étnico, de diversidad sexual y de discapacidad=50%.
Hito 3. Socialización de rutas intersectoriales de prevención y atención integral de violencia contra mujeres con enfoque étnico, de diversidad sexual y de discapacidad=20%.</t>
  </si>
  <si>
    <t>Sumatoria del número de procesos de formación construidos.</t>
  </si>
  <si>
    <t>Número de procesos de formación construidos.</t>
  </si>
  <si>
    <t>Porcentaje de mujeres en juntas directivas y en empresas industriales y comerciales del Estado.</t>
  </si>
  <si>
    <t>5.1 Estructurar un modelo de emprendimiento asociativo de negocios de mediana y gran escala liderados por mujeres que habitan en municipios PDET, incluyendo posibles instrumentos de financiación y fortalecimiento de los emprendimientos.</t>
  </si>
  <si>
    <t>Porcentaje de avance en la coordinación de la estructuración e implementación de un modelo de emprendimiento asociativo de negocios de mediana y gran escala liderados por mujeres que habitan en municipios PDET con base en la ruta del Fondo Mujer Emprende.</t>
  </si>
  <si>
    <t>Porcentaje de avance en la coordinación de la estructuración e implementación de un modelo de emprendimiento asociativo de negocios de mediana y gran escala liderados por mujeres que habitan en municipios PDET con base en la ruta del Fondo Mujer Emprende
Hito 1. Identificación y caracterización de los perfiles empresariales y consolidación de banco de emprendimientos de mediana y gran escala liderados por mujeres en municipios PDET=10%.
Hito 2. Portafolio de proyecto productivos estructurados=20%.
Hito 3. Mecanismos de financiación=30%.
Hito 4. Conexión a mercados y alianzas con sector privado=30%.
Hito 5. Balance de la implementación del modelo de emprendimiento asociativo de negocios de mediana y gran escala liderados por mujeres que habitan en municipios PDET=10%.</t>
  </si>
  <si>
    <t>5.2 Impulsar las iniciativas empresariales de mujeres vinculadas a organizaciones comunitarias y pertenecientes a población víctima, desplazada o en proceso de reincorporación a través de los programas de turismo comunitario y turismo y paz.</t>
  </si>
  <si>
    <t>Número de Iniciativas impulsadas bajo programas de las entidades adscritas.</t>
  </si>
  <si>
    <t>Sumatoria del número de Iniciativas impulsadas bajo programas de las entidades adscritas.</t>
  </si>
  <si>
    <t>5.3 Diseñar y apoyar la implantación de los lineamientos técnicos para la transversalización del enfoque de género en la implementación de los PDET, especialmente en las iniciativas con etiqueta de género  y mujer rural.</t>
  </si>
  <si>
    <t>Porcentaje de avance en el diseño e implementación de los lineamientos técnicos para la transversalización del enfoque de género en la implementación de los PDET, especialmente en las iniciativas con etiqueta de género  y mujer rural.</t>
  </si>
  <si>
    <t>Número de capacitaciones realizadas en departamentos PNIS.</t>
  </si>
  <si>
    <t>Sumatoria del número de capacitaciones realizadas en departamentos PNIS.</t>
  </si>
  <si>
    <t>Porcentaje de avance en establecer una ruta para el seguimiento a las afectaciones con análisis de género a liderazgos vinculados a programas de sustitución voluntaria de cultivos ilícitos.</t>
  </si>
  <si>
    <t>Sumatoria del porcentaje de avance en establecer una ruta para el seguimiento a las afectaciones con análisis de género a liderazgos vinculados a programas de sustitución voluntaria de cultivos ilícitos
Hito 1. Definición de la estrategia de seguimiento=20%.
Hito 2. Elaboración de la ruta de seguimiento=30%.
Hito 3. Definición del mecanismo interno de adopción=20%.
Hito 4. Institucionalización de la ruta=30%.</t>
  </si>
  <si>
    <t>Grupo Cumplimiento de Órdenes Judiciales y Articulación Interinstitucional</t>
  </si>
  <si>
    <t>Número de departamentos PNIS sensibilizados en materia de género y sustitución voluntaria.</t>
  </si>
  <si>
    <t>Sumatoria del número de departamentos PNIS sensibilizados en materia de género y sustitución voluntaria.</t>
  </si>
  <si>
    <t>Número de estrategias de fortalecimiento gestionadas en departamentos PNIS.</t>
  </si>
  <si>
    <t>Sumatoria del número de estrategias de fortalecimiento gestionadas en departamentos PNIS.</t>
  </si>
  <si>
    <t>5.12 Definir una estrategia de gestión del conocimiento para el fortalecimiento de capacidades territoriales de la DSCI en la atención de violencias contra las mujeres vinculadas a procesos de sustitución voluntaria de cultivos ilícitos.</t>
  </si>
  <si>
    <t>Porcentaje de avance en la definición de la estrategia.</t>
  </si>
  <si>
    <t>Sumatoria del porcentaje de avance en la definición de la estrategia
Hito 1. Definición de la estrategia=25%.
Hito 2. Elaboración de la estrategia=50%.
Hito 3. Adopción e institucionalización de la estrategia=25%.</t>
  </si>
  <si>
    <t>Comisión para el Esclarecimiento de la Verdad, la Convivencia y la No Repetición</t>
  </si>
  <si>
    <t>Salomé Gómez Corrales; Remedios Uriana</t>
  </si>
  <si>
    <t xml:space="preserve">salome.gomez@comisiondelaverdad.co; remedios.uriana@comisiondelaverdad.co </t>
  </si>
  <si>
    <t>Espacios de incidencia y socialización desarrollados con entidades del orden nacional sobre el capítulo de las experiencias de mujeres y personas LGBTIQ+ en el conflicto armado interno y las recomendaciones para la no repetición en los ejes definidos, antes de que finalice su mandato.</t>
  </si>
  <si>
    <t>Sumatoria de espacios de incidencia y socialización desarrollados con entidades del orden nacional sobre el capítulo de las experiencias de mujeres y personas LGBTIQ+ en el conflicto armado interno y las recomendaciones para la no repetición en los ejes definidos, antes de que finalice su mandato.</t>
  </si>
  <si>
    <t>5.15 Coordinar la formulación, puesta en  marcha y seguimiento del Plan de Acción de la Resolución 1325.</t>
  </si>
  <si>
    <t>Porcentaje de avance en la formulación, implementación y seguimiento del Plan de Acción de la Resolución 1325 en Colombia.</t>
  </si>
  <si>
    <t>Sumatoria del porcentaje de avance en la formulación, implementación y seguimiento del Plan de Acción de la Resolución 1325 en Colombia
Hito 1. Formulación del Plan de Acción de 1325 en coordinación con entidades nacionales, organizaciones de mujeres y comunidad internacional=20%.
Hito 2. Constitución y formalización de la Comisión Intersectorial 1325=10%.
Hito 3. Socialización y difusión del Plan de Acción 1325 a nivel territorial, organizaciones de mujeres, comunidad internacional=10%.
Hito 4. Informes periódicos de seguimiento y monitoreo a la implementación del Plan de Acción 1325 en Colombia=40%.
Hito 5. Actualización del Plan de Acción 1325 en Colombia=20%.</t>
  </si>
  <si>
    <t>Dirección de Derechos Humanos</t>
  </si>
  <si>
    <t>Sumatoria del porcentaje de avance de diseño e implementación de la segunda fase del Plan de Acción del Programa Integral de Garantías para Lideresas y Defensoras de Derechos Humanos 2023-2026
Hito 1. Documento con balance de implementación de las 28 entidades nacionales con relación al Plan de Acción de Programa Integral de Garantías 2019 - 2022 de los procesos de territorialización=20%.
Hito 2. Documento que contenga la segunda fase del Plan de acción del Programa Integral de Garantías para Lideresas y Defensoras de Derechos Humanos 2023-2026=50%.
Hito 3. Socialización a ciudadanía y autoridades territoriales de la segunda fase del Plan de acción del Programa Integral de Garantías para Lideresas y Defensoras de Derechos Humanos 2023-2026=30%.</t>
  </si>
  <si>
    <t>Porcentaje de avance de la identificación y promoción de buenas prácticas en la participación de las mujeres en las Circunscripciones Transitorias Especiales de paz.</t>
  </si>
  <si>
    <t>Porcentaje de avance en garantizar mayor presencia y reconocimiento de las mujeres en la fuerza pública.</t>
  </si>
  <si>
    <t>Sumatoria del porcentaje de avance en garantizar mayor presencia y reconocimiento de las mujeres en la fuerza pública
Hito 1. Informes sobre las acciones afirmativas realizadas durante el año=100%. [20% en 2023 y 2030, 10% en el resto de años].</t>
  </si>
  <si>
    <t>5.22 Diseñar e implementar de una campaña de reconocimiento sobre la importancia de la labor de las mujeres en la construcción de la Paz.</t>
  </si>
  <si>
    <t>5.23  Coordinar el diseño e implementación de una estrategia que permita el fortalecimiento político, social y económico de las organizaciones de mujeres en la construcción de la paz.</t>
  </si>
  <si>
    <t>Sumatoria del porcentaje de avance en la coordinación del diseño e implementación de una estrategia que permita el fortalecimiento político, social y económico de las organizaciones de mujeres en la construcción de la paz
Hito 1. Diseño de un diplomado de 90 horas para mujeres que lideran procesos de construcción de paz=25%. 
Hito 2. Identificación de actores estratégicos (públicos, privados, de cooperación internacional) para operación del diplomado para mujeres constructoras de paz=25%.
Hito 3. Implementación de la primera Cohorte del diplomado Mujeres constructoras de paz  en Colombia=10%.
Hito 4. Implementación de la segunda Cohorte del diplomado Mujeres constructoras de paz  en Colombia=10%.
Hito 5. Implementación de la tercera Cohorte del diplomado Mujeres constructoras de paz  en Colombia=10%.
Hito 6. Implementación de la cuarta Cohorte del diplomado Mujeres constructoras de paz  en Colombia=10%.
Hito 7. Balance del proceso adelantado=10%.</t>
  </si>
  <si>
    <t>Alto Comisionado para la Paz</t>
  </si>
  <si>
    <t>Número de personas sensibilizadas sobre el delito de la ESCNNA en contextos de viajes y turismo con un enfoque diferencial y de género.</t>
  </si>
  <si>
    <t>Sumatoria del número de personas sensibilizadas sobre el delito de la ESCNNA en contextos de viajes y turismo con un enfoque diferencial y de género.</t>
  </si>
  <si>
    <t>5.27 Implementar actividades de la estrategia Fortaleciendo Capacidades desde el Enfoque de Derechos para mujeres víctimas con el protocolo Vivificarte.</t>
  </si>
  <si>
    <t>Dirección de Empleo Público</t>
  </si>
  <si>
    <t>Porcentaje de avance en la implementación de lineamientos y herramientas con enfoque de género.</t>
  </si>
  <si>
    <t xml:space="preserve">Sumatoria del porcentaje de avance en la implementación de lineamientos y herramientas con enfoque de género
Hito 1. Documento con la definición de lineamientos que establezcan la incorporación de los asuntos de género en al menos las sesiones ordinarias anuales de los Comités de Gestión y Desempeño Institucional, así como las herramientas prácticas para coordinar desde estas instancias la incorporación del enfoque de género en las acciones estratégicas y misionales de cada entidad=40%. 
Hito 2. Informes que den cuenta de la implementación de los lineamientos y herramientas prácticas para coordinar desde estas instancias la incorporación del enfoque de género=60%.
Nota: las herramientas y lineamientos deben incluir asuntos relacionados con; formulación de política de equidad de género a nivel territorial; implementación de equipares público u otras herramientas de equidad laboral en sector público. </t>
  </si>
  <si>
    <t>Avance en el porcentaje de fortalecimiento territorial de la implementación y sostenibilidad del programa nacional de Casas de Mujeres Empoderadas para garantizar oferta integral de servicios
Hito 1. Diseño e implementación de una estrategia de articulación y gestión de la oferta de las entidades de Gobierno para el programa nacional de Casas de Mujeres Empoderadas=50%.
Hito 2. Crear e incorporar un sistema de información como parte del modelo del programa nacional de Casas de Mujeres Empoderadas=30%.
Hito 3. Diseño e implementación de un estrategia de difusión e intercambio de experiencias del programa nacional de Casas de Mujeres Empoderadas=20%.</t>
  </si>
  <si>
    <t>Sumatoria del número de entidades territoriales con proyectos tipo mujer estructurados.</t>
  </si>
  <si>
    <t>Número de entidades territoriales con proyectos tipo mujer estructurados.</t>
  </si>
  <si>
    <t>6.7 Diseñar e implementar, en el marco del Modelo de Gobernanza del  Sistema Estadístico Nacional,  una estrategia conjunta para mitigar los sesgos de género o vacíos en materia de información estadística. Esta estrategia deberá abordar el aumento de la disponibilidad de conjuntos de datos estadísticos de calidad para la toma de decisiones con enfoque de género, incluyendo en la priorización sectores como el de agua y saneamiento, ambiente y cambio climático.</t>
  </si>
  <si>
    <t>Sumatoria del porcentaje de avance en la elaboración e implementación de estrategia para mitigar los sesgos de género en materia de información estadística
Hito 1. Documento con el diagnóstico de sesgos de género en materia de información estadística=20%.
Hito 2. Documento con la priorización de sectores económicos y necesidades de información estadística, como elementos clave para el diseño de la estrategia focalizada que mitigue los sesgos de género en materia de información estadística. Esta priorización deberá incluir los sectores o áreas de agua y saneamiento y ambiente y cambio climático=20%.
Hito 3. Documento con la estrategia focalizada que incluye acciones para aumentar la disponibilidad de conjuntos de datos estadísticos, el fortalecimiento de las capacidades de las entidades públicas y visibilización e incidencia de los datos estadísticos de género, incluyendo la implementación de la Guía de Producción estadística con Enfoque Diferencial=40%.
Hito 4. Documento anual con el reporte de la implementación de la estrategia focalizada=20%.</t>
  </si>
  <si>
    <t xml:space="preserve">Número de observatorios de género que hacen parte de la red. </t>
  </si>
  <si>
    <t xml:space="preserve">Sumatoria del número de observatorios de género que hacen parte de la red. </t>
  </si>
  <si>
    <t>Porcentaje de avance en la creación e implementación del capítulo de género en el Observatorio del Deporte.</t>
  </si>
  <si>
    <t>6.11 Establecer un observatorio que permita medir los progresos de equidad de género en la ejecución de los proyectos de infraestructura.</t>
  </si>
  <si>
    <t>Julian Leyva</t>
  </si>
  <si>
    <t>Porcentaje de avance en el desarrollo de un observatorio que permita medir los progresos de equidad de género en la ejecución de los proyectos de infraestructura.</t>
  </si>
  <si>
    <t>Sumatoria del porcentaje de avance en el desarrollo de un observatorio que permita medir los progresos de equidad de género en la ejecución de los proyectos de infraestructura
Hito 1. Diseño del aplicativo=40%.
Hito 2. Incorporación de obligación del reporte de información en los contratos en el 100% de los contratos de obra=10%.
Hito 3. Reporte de datos en los proyectos de obra=50%.</t>
  </si>
  <si>
    <t>cbocampo@minciencias.gov.co; nacalderon@minciencias.gov.co; jubernal@dnp.gov.co</t>
  </si>
  <si>
    <t>Número de mecanismos que por sus líneas temáticas permiten abordar una priorización en la agenda de asuntos de género.</t>
  </si>
  <si>
    <t xml:space="preserve">6.12 Definir e impulsar al menos una convocatoria anual de investigación basada en una agenda de priorización en torno a asuntos de género. Se incluirán convocatorias dirigidas específicamente a las mujeres en los temas priorizados y otras dirigidas a población en general.  </t>
  </si>
  <si>
    <t>Sumatoria del número de mecanismos que por sus líneas temáticas permiten abordar una priorización en la agenda de asuntos de género.</t>
  </si>
  <si>
    <t>Escuela Superior de Administración Pública; Departamento Administrativo de la Presidencia de la República; Departamento Nacional de Planeación</t>
  </si>
  <si>
    <t>Dirección de Capacitación; Consejería Presidencial de Equidad para la Mujer; Subdirección de Género</t>
  </si>
  <si>
    <t>Ruby Gerena; Génica Mazoldi; Juanita Bernal</t>
  </si>
  <si>
    <t>ruby.gerena@esap.edu.co; genicamazoldi@presidencia.gov.co; jubernal@dnp.gov.co</t>
  </si>
  <si>
    <t>Sumatoria del porcentaje de avance en el desarrollo de un programa de capacitación para fortalecer los conocimientos y competencias en la integración del enfoque de género en los procesos de diseño, formulación, planeación, seguimiento y evaluación de políticas, programas y proyectos, dirigido a diversos actores en el nivel nacional y territorial
Hito 1. Diseño y virtualización de los contenidos de un programa de capacitación para fortalecer los conocimientos y competencias en la integración del enfoque de género en los procesos de diseño, formulación, planeación, seguimiento y evaluación de políticas, programas y proyectos, dirigido a diversos actores en el nivel nacional y territorial=40%.
Hito 2. Oferta y operación del programa desarrollado=30%.
Hito 3. Evaluación y actualización del programa=30%.</t>
  </si>
  <si>
    <t>Departamento Nacional de Planeación; Departamento Administrativo de la Presidencia de la República</t>
  </si>
  <si>
    <t>Subdirección de Género; Consejería Presidencial de Equidad para la Mujer</t>
  </si>
  <si>
    <t xml:space="preserve">Juanita Bernal; Gheidy Gallo Santos </t>
  </si>
  <si>
    <t>jubernal@dnp.gov.co; gheidygallo@presidencia.gov.co</t>
  </si>
  <si>
    <t>Porcentaje de acciones con metas para cada año del plan de acción de la política con asociación a las herramientas del Trazador presupuestal de equidad para la mujer.</t>
  </si>
  <si>
    <t>Porcentaje de acciones con metas para cada año del plan de acción de la política con asociación a las herramientas del Trazador presupuestal de equidad para la mujer.
Nota: durante el seguimiento se especificará cómo se obtiene el porcentaje.</t>
  </si>
  <si>
    <t>Número de autoridades locales y/o equipos asistidos técnicamente para la implementación del enfoque de género en las estrategias, campañas y acciones en seguridad vial.</t>
  </si>
  <si>
    <t>Sumatoria de autoridades locales y/o equipos asistidos técnicamente para la implementación del enfoque de género en las estrategias, campañas y acciones en seguridad vial.</t>
  </si>
  <si>
    <t>Dirección Técnica y de estructuración</t>
  </si>
  <si>
    <t>Guillermo Toro</t>
  </si>
  <si>
    <t>Sumatoria del porcentaje de avance en la actualización de los documentos técnicos, manuales, guías e instrumentos similares de construcción de infraestructura de transporte, en los cuales se incluya el enfoque de género y diferencial
Hito 1. Actualización de manuales técnicos para que incluyan el enfoque de género y diferencial=40%. 
Hito 2. Actualización de guías e instrumentos de construcción de infraestructura de transporte para que incluyan el enfoque de género y diferencial=60%.</t>
  </si>
  <si>
    <t>Sumatoria del porcentaje de avance en la actualización de los lineamientos para la equidad de género del sector minero-energético
Hito 1. Construcción de propuesta y definición de indicadores=25%.
Hito 2. Construcción de herramienta para evaluación y seguimiento=25%.
Hito 3. Validación con empresas y gremios=20%.
Hito 4. Actualización línea de base=30%.</t>
  </si>
  <si>
    <t>6.20 Integrar lineamientos del enfoque de género, orientaciones sexuales e identidades de género diversas, en los procesos de rendición de cuentas de las entidades nacionales y en los procesos de atención a la ciudadanía.</t>
  </si>
  <si>
    <t xml:space="preserve">6.16 Formular, publicar, socializar y asistir técnicamente a autoridades municipales y equipos técnicos la guía de orientaciones y lineamientos para la transversalización del enfoque diferencial, con énfasis en enfoque de género, en las estrategias, campañas y acciones en seguridad vial.  </t>
  </si>
  <si>
    <t xml:space="preserve">6.17 Actualizar los documentos técnicos, manuales, guías e instrumentos similares de construcción de infraestructura de transporte para incluir el enfoque de género y diferencial en los proyectos. La actualización de los manuales será socializada previamente con la Agencia Nacional de Infraestructura y el Ministerio de Transporte. </t>
  </si>
  <si>
    <t xml:space="preserve"> 6.18 Actualizar los Lineamientos para la equidad de género del sector minero-energético, estableciendo indicadores y metas sectoriales que contribuyan a avanzar en la equidad de género, desde las dimensiones laboral y comunitaria</t>
  </si>
  <si>
    <t>6.21 Diseñar, socializar y hacer seguimiento a la implementación de lineamientos para la transversalización del enfoque de género en el sector salud.</t>
  </si>
  <si>
    <t>Porcentaje de avance en el diseño, la socialización y el seguimiento a la implementación de lineamientos para la transversalización del enfoque de género en el sector salud.</t>
  </si>
  <si>
    <t>Porcentaje de avance en la mejora y reestructuración de la plataforma tecnológica del Observatorio Colombiano de las Mujeres.</t>
  </si>
  <si>
    <t xml:space="preserve">Sumatoria del porcentaje de avance de la mejora y reestructuración de la plataforma tecnológica del Observatorio Colombiano de las Mujeres
Hito 1. Documento de arquitectura con la propuesta tecnológica para la mejora y reestructuración periódica del sistema de información=30%.
Hito 2. Aprobación de documento de arquitectura por parte del comité del observatorio=5%.
Hito 3. Generación de requerimientos e historias de usuario asociadas a la propuesta tecnológica presentada=15%.
Hito 4. Ejecución del proceso de desarrollo teniendo en cuenta las historias de usuario y requerimientos funcionales=50%. </t>
  </si>
  <si>
    <t>Porcentaje de avance en el  proceso de actualización automática de información del Observatorio Colombiano de las Mujeres a partir de las fuentes de información producidas por el DANE y por las demás entidades que reportan información periódica al Observatorio.</t>
  </si>
  <si>
    <t>Sumatoria del porcentaje de avance estrategia para incorporar enfoque de género en las estrategias de comunicación interna y externa
Hito 1. Documento definición de la estrategia=30%.
Hito 2. Socialización de la estrategia=10%.
Hito 3. Documento con lineamientos y buenas prácticas para incorporar enfoque de género en estrategias de comunicación=20%.
Hito 4. Informe que dé cuenta de la implementación de la estrategia con indicadores y variables de enfoque de género y diferencial= 40% (1 anual).</t>
  </si>
  <si>
    <t>6.23 Mejorar y reestructurar la plataforma tecnológica del Observatorio Colombiano de las Mujeres considerando los nuevos avances disponibles.</t>
  </si>
  <si>
    <t>6.24 Definir un proceso de actualización automática de información del Observatorio Colombiano de las Mujeres a partir de las fuentes de información producidas por el DANE y por las demás entidades que reportan información periódica al Observatorio.</t>
  </si>
  <si>
    <t>6.25 Diseñar e implementar una estrategia para promover la transformación cultural desde la creación, producción y circulación de contenidos audiovisuales bajo estándares sociales orientados a la eliminación de la violencia de género contra las mujeres y de estereotipos de género que afectan de manera principal a las mujeres. Para ello, se tendrá en cuenta el estudio realizado por la entidad sobre representaciones sociales que difunden los canales de televisión abierta en el país referente a las mujeres y se articulará con el proyecto de Pedagogía Ciudadana en el Ecosistema Audiovisual para su socialización.</t>
  </si>
  <si>
    <t>6.26 Diseñar e implementar una estrategia para incorporar enfoque de género en las estrategias de comunicación interna y externa de la entidad incluyendo contenido, representación gráfica, canales de llegada y lenguaje con enfoque de género.</t>
  </si>
  <si>
    <t>6.27 Realizar una evaluación de las medidas afirmativas seleccionadas en favor de las mujeres rurales implementadas por entidades del sector agricultura y desarrollo rural con un enfoque interseccional.</t>
  </si>
  <si>
    <t xml:space="preserve">6.28 Diseñar e implementar una estrategia de formación para el fortalecimiento de las capacidades en género e interseccionalidad de funcionarios (nacionales y territoriales), mujeres lideresas y productores rurales para el diseño y ejecución de instrumentos de política pública del sector agricultura y desarrollo rural con enfoque territorial y diferencial.
 </t>
  </si>
  <si>
    <t>6.29 Diseñar e implementar una estrategia para el fortalecimiento de las capacidades de control social de las mujeres rurales.</t>
  </si>
  <si>
    <t>Sumatoria del número de estrategias diseñadas e implementadas.</t>
  </si>
  <si>
    <t>Sumatoria del porcentaje de avance en el diseño e implementación de una estrategia que fomente el fortalecimiento de habilidades asociadas a las áreas STEM + G para niñas y adolescentes matriculadas en educación básica y media y su interés por las mismas, teniendo en cuenta las barreras culturales
Hito 1. Documento borrador con guía de orientaciones para el fortalecimiento habilidades asociadas a las áreas STEM + G para niñas y adolescentes matriculadas en educación preescolar, básica y media=20% [2023].
Hito 2. Documento guía de orientaciones para el fortalecimiento habilidades asociadas a las áreas STEM + G para niñas y adolescentes matriculadas en educación básica y media= 40% [2024 y 2025].
Hito 3. Socialización de las orientaciones STEM + G del Ministerio de Educación para los niveles de educación preescolar (Guía STEAM + G), básica y media en las 96 Entidades Territoriales Certificadas en Educación para la apropiación en los Establecimientos Educativos [Cada una pesa 0,25]=24%. [2026 y 2027]
Hito 4. Reportes periódicos de seguimiento a la gestión de las ETC en cuanto a la apropiación de las orientaciones STEM + G en territorio=16%. [2028 y 2029]</t>
  </si>
  <si>
    <t>Sumatoria del porcentaje de avance en la inclusión de un componente de transformación de estereotipos de género dentro de la estrategia Alianza Familia - Escuela con el objetivo de complementar las acciones orientadas a la promoción de la equidad de género desde los entornos familiares
Hito 1. Plan de trabajo para el diseño de un componente de transformación de estereotipos de género dentro de la estrategia Alianza Familia-Escuela=20%.
Hito 2. Desarrollo de recursos asociados al componente de transformación de estereotipos de género -dentro de la alianza familia - escuela=80%.</t>
  </si>
  <si>
    <t>Número de certificatones realizadas para facilitar el acceso de esta población al servicio de certificación de competencia laborales.</t>
  </si>
  <si>
    <t>Sumatoria del número de certificatones realizadas para facilitar el acceso de esta población al servicio de certificación de competencia laborales.
Nota: las metas no incluyen la línea base.</t>
  </si>
  <si>
    <t>Dirección de Formación Profesional - SENNOVA</t>
  </si>
  <si>
    <t>Sumatoria del porcentaje de avance en la diseño e implementación de una estrategia de enfoque de género que promueva la participación de la mujer en las acciones desarrolladas por SENNOVA
Hito 1. Diseño de la estrategia para integrar el enfoque de género que promueva la participación de la mujer en las acciones desarrolladas por SENNOVA=20%.
Hito 2. Construcción de ruta de trabajo para la divulgación y transferencia de la estrategia por parte de los diferentes actores del ecosistema SENNOVA=20%.
Hito 3. Construcción del Reporte consolidado de avance en la implementación de la estrategia de acuerdo a la ruta diseñada en los Centros donde se ejecutan las líneas programáticas de Sennova=60%.</t>
  </si>
  <si>
    <t xml:space="preserve">1.9  Realizar cambios en los modelos de términos de referencia al respecto de los numerales de evaluación para otorgar puntajes adicionales a mujeres (líderes de propuestas) en las convocatorias, invitaciones y concursos en las líneas de investigación, innovación, investigación-creación o apropiación social del conocimiento. </t>
  </si>
  <si>
    <t>Sumatoria del porcentaje de avance del diseño del lineamiento
Hito 1. Diagnóstico acerca de la dedicación de investigadoras e investigadores a las actividades del cuidado y su vínculo con la producción investigativa=40%.
Hito 2. Consolidación del documento de diagnóstico y recomendaciones frente a cómo incorporar criterios en la medición de la producción investigativa, que tengan en cuenta las dinámicas del cuidado=40%. 
Hito 3. Informes que den cuenta de la socialización e implementación  de las recomendaciones=20%.</t>
  </si>
  <si>
    <t>Olga Constanza Bermúdez</t>
  </si>
  <si>
    <t>Sumatoria del porcentaje de avance en el diseño e implementación de una estrategia que incentive la inscripción de mujeres en cursos asociados a tecnologías de habilidades digitales
Hito 1. Diseño de la estrategia  - Documento con la estrategia diseñada=20%.
Hito 2. Socialización de la estrategia - Documento  con  evidencias de la socialización del estrategia=20%.
Hito 3. Informe de avance en la implementación de la estrategia [cada uno pesa 10%]=60%.</t>
  </si>
  <si>
    <t>Sumatoria del porcentaje de avance en el seguimiento a empresas en buenas practicas laborales hacia la mujer
Hito 1. Documento que consolide las normas nacionales e internacionales de protección reforzada y alojamiento en el campus virtual=15%.
Hito 2. Elaboración del protocolo de inspección para la verificación de normas laborales en el tema de genero.=25%.
Hito 3. Socialización a los inspectores de trabajo para la aplicación de este protocolo= 20%.
Hito 4. Realizar inspecciones en campo, priorizando empresas de sectores críticos de la economía,  acorde con el protocolo diseñado para este fin=30%.
Hito 5. Documento de resultados y recomendaciones para mejora en la implementación=10%.</t>
  </si>
  <si>
    <t xml:space="preserve">Subdirección de Análisis, Monitoreo y Prospectiva Laboral; Grupo Interno de Trabajo de Políticas Activas; Subdirección de Promoción; Dirección de Empleo; Subdirección de Género </t>
  </si>
  <si>
    <t>Sumatoria del porcentaje de avance en el diseño e implementación de una estrategia para garantizar la vocación de permanencia y sostenibilidad del Fondo Mujer Emprende
Hito 1. Definición de los mecanismos jurídicos para materializar la vocación de permanencia del FME año 2022=60%.
Hito 2. Implementación de la alternativa jurídica para para materializar la vocación de permanencia del FME año 2024 a 2030=40%.</t>
  </si>
  <si>
    <t>Porcentaje de avance en la creación de la mesa* intersectorial para la armonización de la oferta de emprendimiento del gobierno nacional para empresas y emprendimientos de mujeres.
*: Esta mesa será liderada por el Fondo Mujer Emprende y podrá crear sub - mesas sectoriales con los actores del ecosistema involucrados para crear la ruta de atención especializada para emprendedoras y empresarias. Así mismo, se articulará con el Sistema Nacional de Competitividad,  las Comisiones Regionales de Competitividad y la Secretarías de la Mujer y referentes de género.</t>
  </si>
  <si>
    <t>Sumatoria del porcentaje de avance en la creación de la mesa* intersectorial para la armonización de la oferta de emprendimiento del gobierno nacional para empresas y emprendimientos de mujeres
Hito 1. Desarrollo de la primera mesa de armonización de la oferta de emprendimiento para el segmento mujer con la definición de la ruta de atención a emprendedoras y empresarias  año 2022=11%.
Hito 2. Desarrollar semestralmente una mesa de armonización con los actores del ecosistema para la definición de la ruta de atención a emprendedoras y empresarias en cada año 2023 a 2029=77% [11% cada año].
Hito 3. Informe final con los resultados de la mesa de armonización año 2030=12%.</t>
  </si>
  <si>
    <t>Sandra Gisella Acero</t>
  </si>
  <si>
    <t>Dirección de Empleo y Trabajo</t>
  </si>
  <si>
    <t>Sumatoria del porcentaje de avance en el diseño e implementación de instrumentos para promover encadenamientos productivos de mujeres
Hito 1. Diseño de al menos un instrumento dirigido a promover oportunidades de mercado para el segmento mujer vía asistencia técnica año 2022=11%.
Hito 2. Implementación y o rediseño de uno o varios instrumentos de asistencia técnica dirigidos promover oportunidades de mercado para el segmento empresarial mujer año 2023 a 2029=78% [11% cada año].
Hito 3. Informe final con los resultados de los programas de asistencia técnica para promover oportunidades de mercados para el segmento empresarial mujer año 2030=11%.</t>
  </si>
  <si>
    <t>Porcentaje de avance en el diseño e implementación de una ruta de atención para la creación de oportunidades económicas a mujer en condiciones de vulnerabilidad.</t>
  </si>
  <si>
    <t>Porcentaje de avance en el diseñar de una ruta de atención para la creación de oportunidades económicas a mujer en condiciones de vulnerabilidad
Hito 1. Documento que contenga una caracterización de estado del arte de las mujeres en condición de vulnerabilidad=20%.
Hito 2. Diseño e implementación de una ruta de empleabilidad para las mujeres en condición de vulnerabilidad=40%.
Hito 3. Diseño e implementación de una ruta de emprendimiento para las mujeres en condición de vulnerabilidad=40%.</t>
  </si>
  <si>
    <t>PGN-nación - Inversión</t>
  </si>
  <si>
    <t>(Número de servicios de oferta complementaria para la inclusión laboral, productiva y otras ofertas que aporten a la superación de la pobreza y estén relacionadas con las temáticas de educación,  generación de ingresos, salud, vivienda y educación financiera gestionados a mujeres / Total de servicios de oferta complementaria gestionados para la inclusión laboral, productiva y otras ofertas que aporten a la superación de la pobreza  estén relacionadas con las temáticas de educación, generación de ingresos, salud, vivienda y educación financiera) x 100
* Se entiende por servicios de oferta complementaria gestionados: el número de beneficiarios atendidos por PS  remitidos a servicios de oferta complementaria para la a inclusión laboral, productiva y otras ofertas que aporten a la superación de la pobreza y estén relacionadas con las temáticas de educación,  generación de ingresos, salud, vivienda y educación financiera.</t>
  </si>
  <si>
    <t>Sumatoria del porcentaje de avance en la elaboración de lineamientos para la incorporación del enfoque de género en el sector de agua y saneamiento básico
Hito 1. Diagnóstico e identificación de componentes clave de los lineamientos=25%.
Hito 2. Primer borrador del documento de lineamientos=35%.
Hito 3. Socialización del documento borrador con los lineamientos=20%.
Hito 4. Ajustes y documento final que contenga los lineamientos para la incorporación del enfoque de género=20%.</t>
  </si>
  <si>
    <t>Sumatoria del porcentaje de participación y fortalecimiento de mujeres en la oferta institucional de la ANT
[Hito 1 + Hito 2 + Hito 3 + Hito 4]
Hito 1. Número de mujeres que participen en los espacios de divulgación y fortalecimiento de la oferta institucional / Total de personas asistentes a los espacios de divulgación y fortalecimiento de la oferta institucional de la ANT.
Hito 2. Numero de registros FISO con posible titulación a mujeres /Numero total de registro FISO con posible titulación.
Hito 3. Numero de mujeres que ingresaron al RESO/Numero de personas totales que ingresaron al RESO.
Hito 4. Número de las mujeres en la red municipal de gestores comunitarios en la fase de implementación de POSPR/ Número de personas en la red municipal de gestores comunitarios en la fase de implementación de POSPR.</t>
  </si>
  <si>
    <t>Porcentaje de productoras en el registro que reciben el servicio de extensión agropecuaria.</t>
  </si>
  <si>
    <t>(Mujeres atendidas con servicio de extensión agropecuaria / total de usuarios atendidos con servicio de extensión agropecuaria) x 100</t>
  </si>
  <si>
    <t>Número de mujeres rurales vinculadas a las actividades de uso y apropiación de tecnología.</t>
  </si>
  <si>
    <t>Sumatoria del número de mujeres rurales vinculadas a las actividades de uso y apropiación de tecnología.</t>
  </si>
  <si>
    <t>Número de mujeres rurales beneficiadas con la cofinanciación de PIDAR.</t>
  </si>
  <si>
    <t>Sumatoria del número de mujeres rurales beneficiadas con la cofinanciación de PIDAR.</t>
  </si>
  <si>
    <t>Sumatoria del porcentaje de avance en el diseño e implementación de instrumentos financieros y no financieros para emprendimientos de mujeres que atienda la línea de sostenibilidad ambiental, en las áreas de conservación, adaptación al cambio climático y bioeconomía
Hito 1. Diseño de al menos un instrumento dirigido a promover negocios para la  para conservación, adaptación al cambio climático y bioeconomía año 2022=11%.
Hito 2. Implementación y/o rediseño de uno o varios instrumentos dirigidos a promover negocios de mujeres  para conservación, adaptación al cambio climático y bioeconomía año 2023 a 2029=78% [11% cada año].
Hito 3.  Informe final con los resultados de los instrumentos dirigidos a promover negocios de mujeres  para conservación, adaptación al cambio climático y bioeconomía año 2030=11%.</t>
  </si>
  <si>
    <t>Porcentaje de mecanismos de intervención anuales con criterios de puntajes adicionales para las mujeres rurales vinculados a programas y proyectos de  generación de ingresos dentro del Sector de Agricultura y Desarrollo Rural.</t>
  </si>
  <si>
    <t>(Número de mecanismo de intervención anuales con criterios de puntajes adicionales para las mujeres rurales vinculados a programas y proyectos de  generación de ingresos dentro del Sector de Agricultura y Desarrollo Rural/ Número de mecanismos de intervención vinculados a programas y proyectos de generación de ingresos dentro del Sector de Agricultura y Desarrollo Rural) x 100</t>
  </si>
  <si>
    <t>Porcentaje de mujeres rurales beneficiadas a través de mecanismos de intervención vinculados a la generación de ingresos en el Sector de Agricultura y Desarrollo Rural.</t>
  </si>
  <si>
    <t>(Número de mujeres rurales  beneficiadas  a través de mecanismos de intervención vinculados a la generación de ingresos en el Sector de Agricultura y Desarrollo Rural / total de beneficiarios a través de mecanismos de intervención vinculados a la generación de ingresos en el Sector de Agricultura y Desarrollo Rural) x 100</t>
  </si>
  <si>
    <t xml:space="preserve">Sumatoria del porcentaje de avance en el diseño e  implementación de una estrategia  para el fortalecimiento de las capacidades técnicas y emprendedoras que desarrolla, enfocada en la mujer rural
Hito 1. Elaboración de diagnostico de brechas en formación y emprendimiento=20%.
Hito 2. Elaborar la estrategia de cierre de brechas en temas de formación y emprendimiento de las mujeres rurales=20%.
Hito 3. Ejecución de la estrategia. Informes de avance cada un con el 10%=60%. </t>
  </si>
  <si>
    <t>Oficina de Tecnologías de la Información; Subgerencia de Protección Animal</t>
  </si>
  <si>
    <t>Dirección Técnica de Administración y Fomento</t>
  </si>
  <si>
    <t>Número de jornadas de divulgación de la política de mujer rural en las plataformas del SNIA.</t>
  </si>
  <si>
    <t>Sumatoria del número de jornadas de divulgación de la política de mujer rural en las plataformas del SNIA.</t>
  </si>
  <si>
    <t>Número de espacios de participación de mujeres rurales generados a través de la plataforma linkata.</t>
  </si>
  <si>
    <t>Sumatoria del número de espacios de participación de mujeres rurales generados a través de la plataforma linkata.</t>
  </si>
  <si>
    <t>Número de documentos de estudios técnicos que evidencien la situación de las mujeres rurales, las brechas de género socioeconómicas y de acceso a los activos productivos o estudios sobre su participación en los eslabones de las cadenas productivas.</t>
  </si>
  <si>
    <t xml:space="preserve">Sumatoria del número de documentos de estudios técnicos que evidencien la situación de las mujeres rurales, las brechas de género socioeconómicas y de acceso a los activos productivos o estudios sobre su participación en los eslabones de las cadenas productivas.
Nota: en 2022, se reporta la línea base. En 2023 se genera el primer documento y luego en los años 2026 y 2029.
</t>
  </si>
  <si>
    <t>Sumatoria del porcentaje de avance en el diseño y la implementación de la evaluación de los procesos de educación económica y financiera
Hito 1. Identificación y selección los programas a evaluar=10%.
Hito 2. Diseño las evaluación de los programas de educación financiera seleccionados=10%.
Hito 3. Ejecución de la evaluación de mediano plazo=25%.
Hito 4. Socialización y uso de los resultados de la evaluación a mediano plazo=10%.
Hito 5. Diseño de la evaluación final=10%.
Hito 6. Ejecución de la evaluación final=25%.
Hito 7. Socialización y uso de los resultados de la evaluación final=10%.</t>
  </si>
  <si>
    <t>Sumatoria del porcentaje de avance en el ajuste de los instrumentos para la profundización del Crédito LEC en favor de la Mujer rural
Hito 1. Desarrollar un instrumento para la captura de información primaria sobre financiamiento para mujer rural a través de crédito, como insumo para el ajuste de lineamientos de política de financiamiento=20%.
Hito 2. Generar un documento técnico de soporte para el ajustes de los instrumentos en favor de la inclusión de la Mujer rural, que incluya análisis estadísticos de información primaria y secundaria=20%.
Hito 3. Diseñar una estrategia integral para la profundización de las LEC dirigidas a la mujer rural=20%. 
Hito 4. Elaborar y presentar la propuesta de resolución para aprobación por parte la CNCA, con los ajustes a los instrumentos de financiamiento LEC dirigidos a la mujer rural=40%.</t>
  </si>
  <si>
    <t>Número de actividades realizadas para la difusión de información.</t>
  </si>
  <si>
    <t>Sumatoria de actividades realizadas para la difusión de información.</t>
  </si>
  <si>
    <t>2.2 Realizar luego de cada certamen electoral para Presidencia, Vicepresidencia, Congreso de la República y Consejo de Juventudes un estudio sobre la participación en el escenario político que contemple mujeres rurales, grupos étnicos, población LBTI, población con discapacidad, jóvenes y 16 curules para la paz.</t>
  </si>
  <si>
    <t xml:space="preserve">Consejo Nacional Electoral; Registraduría Nacional del Estado Civil; Ministerio del Interior  </t>
  </si>
  <si>
    <t>Consejo Nacional Electoral; Registraduría Nacional del Estado Civil</t>
  </si>
  <si>
    <t>Otros (Cooperación)</t>
  </si>
  <si>
    <t>2.9 Aumentar  la vinculación de las mujeres en las escuelas de liderazgo con el fin de promover su participación y la de sus organizaciones en instancias de participación y en espacios políticos.</t>
  </si>
  <si>
    <t>2.10  Consolidar el modelo de formación de la Escuela Mujeres Lideresas por Colombia como una iniciativa de educación no formal orientada a promover la participación política de las mujeres para cargos de representación popular.</t>
  </si>
  <si>
    <t>Número  de asistencias técnicas realizadas para fortalecer la inclusión de mujeres al interior de los estatutos de federaciones y la confederación comunal.</t>
  </si>
  <si>
    <t>Sumatoria del número de asistencias técnicas realizadas para fortalecer la inclusión de mujeres al interior de los estatutos de federaciones y la confederación comunal.</t>
  </si>
  <si>
    <t>Porcentaje de avance en el diseño e implementación de la ruta de atención.</t>
  </si>
  <si>
    <t>Sumatoria del porcentaje de avance en el diseño e implementación de la ruta de atención
Hito 1. Diseño de Ruta de Atención=30%.
Hito 2. Realizar informes de seguimiento a la implementación de la Ruta de Atención=70%.</t>
  </si>
  <si>
    <t>Porcentaje de mujeres participando en espacios de participación social.</t>
  </si>
  <si>
    <t>(Número de mujeres que participan en los espacios de participación social del componente de Bienestar Comunitario del Programa Familias en Acción / Número de titulares que participan en los espacios de participación social del del componente de Bienestar Comunitario del Programa Familias en Acción) x 100</t>
  </si>
  <si>
    <t>3.1 Generar estrategias poblacionales, colectivas e individuales en promoción de condiciones y estilos de vida saludables y fomento del  reconocimiento de la enfermedad cardiocerebrovascular en las mujeres con enfoque diferencial y étnico para la disminución del riesgo de padecimiento de enfermedades cardio cerebro vasculares.</t>
  </si>
  <si>
    <t>Porcentaje de avance en la generación de estrategias poblacionales, colectivas en promoción de condiciones y estilos de vida saludables en las mujeres con enfoque diferencial y étnico para la disminución del riesgo de padecimiento de enfermedades cardio cerebro vasculares.</t>
  </si>
  <si>
    <t xml:space="preserve">Sumatoria del porcentaje de avance en la generación de estrategias poblacionales, colectivas en promoción de condiciones y estilos de vida saludables en las mujeres con enfoque diferencial y étnico para la disminución del riesgo de padecimiento de enfermedades cardio cerebro vasculares
Hito 1. Plan de trabajo intersectorial para la promoción de condiciones y estilos de vida saludables que contenga como mínimo estrategias para la promoción de factores protectores para ECCV como actividad física, alimentación saludable, prevención del consumo de alcohol y tabaco y su derivados, y manejo de tiempo en pantalla=40%.
Hito 2. Plan de trabajo intersectorial Aprobado por cada Ministerio para la promoción de condiciones y estilos de vida saludables que contenga como mínimo una estrategia de comunicaciones para la promoción de factores protectores para ECCV como actividad física, alimentación saludable, prevención del consumo de alcohol y tabaco y su derivados, y manejo de tiempo en pantalla=20%.
Hito 3. Informe de implementación de las estrategias desde cada Ministerio anual a partir del 2022=40%.                                                                                                                                
</t>
  </si>
  <si>
    <t>3.2 Desarrollar en el capítulo de adaptabilidad de la Ruta Integral de Atención (RIA) cardio metabólica un apartado con enfoque de género.</t>
  </si>
  <si>
    <t>Porcentaje de avance en la elaboración del apartado con enfoque de género a incluir en el capítulo de adaptabilidad de la RIA cardio metabólica.</t>
  </si>
  <si>
    <t>Sumatoria del porcentaje de avance en la elaboración del apartado con enfoque de género a incluir en el capítulo de adaptabilidad de la RIA cardio metabólica
Hito 1. Propuesta de Lineamiento de la RIAS cardiometabólica que incluye en el capítulo de adaptabilidad el enfoque de género=30%.
Hito 2. Socialización del Lineamiento de la RIAS cardiometabólica con enfoque de género integrado en el capítulo de adaptabilidad a entidades territoriales=70%.</t>
  </si>
  <si>
    <t>3.6 Desarrollar procesos de fortalecimiento de capacidades para la prevención y control de la enfermedades cardio cerebro vasculares y metabólicas con enfoque de género dirigido al talento humano en salud pública y de la atención en salud de las Entidades Territoriales (ET), EPS e IPS.</t>
  </si>
  <si>
    <t xml:space="preserve">Porcentaje de avance en los  procesos de fortalecimiento de capacidades para la prevención y control de las enfermedades cardio cerebro vasculares y metabólicas con enfoque de género dirigido al talento humano en salud pública y de la atención en salud de las ET, EPS, IPS. </t>
  </si>
  <si>
    <t>Sumatoria del porcentaje de avance en ,los procesos de fortalecimiento de capacidades para la prevención y control de las enfermedades cardio cerebro vasculares y metabólicas con enfoque de género dirigido al talento humano en salud pública y de la atención en salud de las ET, EPS e IPS
Hito  1. Plan de trabajo que contemple el proceso de fortalecimiento de las capacidades para la prevención y control de las enfermedades cardio cerebro vasculares y metabólicas con enfoque de género, dirigido al talento humano en salud pública y a la atención en salud de ET, EPS e IPS=10%.
Hito 2. Informe con las asistencias técnicas realizadas a las  ET, EPS e IPS  priorizadas=60%.
Hito 3. Un informe consolidado que describa el proceso de fortalecimiento de capacidades dirigido a las ET, EPS e IPS=30%.</t>
  </si>
  <si>
    <t>Sumatoria del porcentaje de avance en el diseño e implementación de la estrategia nacional de información, comunicación y educación para la promoción de la salud mental en condiciones de igualdad entre géneros y la reducción del estigma y la exclusión social
Hito 1. Documento compilatorio sobre experiencias demostrativas en estrategias de IEC para la promoción de la salud mental en condiciones de la igualdad de genero, reducción del estigma y la exclusión social=20%.
Hito 2. Documento que contiene los lineamientos nacionales para las estrategias de IEC de promoción de la salud mental en condiciones de la igualdad de genero, reducción del estigma y la exclusión social=30%.
Hito 3. 4 informes de  asistencias técnicas para generación de capacidades en los territorios  con respecto al diseño de estrategias de IEC para la promoción de la salud mental en condiciones de la igualdad de genero, reducción del estigma y la exclusión social: (Cada informe  tiene un valor de 7,5%)=30%. 
Hito 4. Documento que contenga una evaluación de resultados respecto a la implementación de los lineamientos para las estrategias de IEC de promoción de la salud mental en condiciones de la igualdad de genero, reducción del estigma y la exclusión social=20%.</t>
  </si>
  <si>
    <t>Sumatoria del porcentaje de avance en el diseño e implementación de herramienta de monitoreo, seguimiento y evaluación a la transversalización del enfoque de genero en la política nacional de salud mental
Hito 1. Documento que contenga el análisis de género de la política nacional de salud mental y diseño de la herramienta de monitoreo, seguimiento y transversalización en la política de acuerdo el análisis previo. La herramienta debe contener los criterios i) la apropiación a nivel intersectorial: ii) el acceso a los servicios de salud de las mujeres; iii)el análisis del impacto de los beneficios del Sistema General de Seguridad Social en la salud de las mujeres; iv) la medición de la calidad de la atención en salud; v) la medición de la formación del talento humano en salud con enfoque de género;  y vi) la observación del nivel de participación y empoderamiento de las mujeres en el sector salud, entre otras acciones=25%.
Hito 2. Informes de  Asistencias técnicas para generar capacidades a través de asistencias técnicas a nivel nacional  y territorial que permiten la implementación de la herramienta de monitoreo, seguimiento y evaluación a la transversalización del enfoque genero en la política de salud. (4 informes, cada uno con un valor de 6.25 %)=25%.
Hito 3. Informe relacionado con la puesta en funcionamiento de la herramienta de monitoreo, seguimiento y evaluación a la transversalización del enfoque de genero en la política nacional de salud mental=40%.
Hito 4. Informe de evaluación del grado de transversalización del enfoque de genero tras la implementación de la herramienta=10%.</t>
  </si>
  <si>
    <t>Sumatoria del porcentaje de avance en el monitoreo y seguimiento en la implementación de la rutas de riesgo en salud mental en el SGSSS con enfoque de género
Hito 1. Documento que contenga el análisis de  la implementación del enfoque de género en la ruta de riesgo en salud mental=20%.
Hito 2. Construcción de una herramienta de monitoreo de la implementación de la ruta de riesgo en salud mental en el SGSSS con enfoque de género=30%.
Hito 3. Generación de capacidades en los actores del Sistema de forma que puedan desarrollar la herramienta de monitoreo a través de asistencias técnicas consignados en 3 informes sobre los resultados del proceso=30%. (10% cada informe)
Hito 4. 4 Informes que contenga el seguimiento respecto al grado de  apropiación del enfoque de genero en la implementación de la ruta  de riesgo en salud mental en el SGSSS=20%. (cada informe equivale a 5% para un total de informes que dependerá de cuando se inicie este hito que a su vez depende de la realización previa de los otros)</t>
  </si>
  <si>
    <t>3.11  Implementar una estrategia para el fortalecimiento de capacidades como asistencias técnicas, talleres y cursos, en modalidad presencial y/o virtual dirigidas a las entidades territoriales y prioritariamente a aquellas que presenten mayores razones de mortalidad materna, para la aplicación de la Ruta Materno Perinatal con enfoque diferencial e intercultural de acuerdo a la Resolución 3280 del 2018 en los territorios rurales, involucrando en ello el saber de la medicina tradicional como complementariedad a lo ya establecido en la normativa.</t>
  </si>
  <si>
    <t>Porcentaje de avance en la implementación de la estrategia orientada a fortalecer las capacidades para la aplicación de la RIA de mortalidad materna perinatal (MPNT) en el área rural.</t>
  </si>
  <si>
    <t>Sumatoria del porcentaje de avance en la implementación de la estrategia orientada a fortalecer las capacidades para la aplicación de la RIA de mortalidad materna perinatal (MPNT) en el área rural
Hito 1. Documento con las orientaciones para el fortalecimiento de capacidades dirigido a las entidades territoriales con enfoque diferencial, étnico=40%.
Hito 2. Documento con la caracterización de los territorios en los que se realizarán las acciones con base en los indicadores de mortalidad materna=20%.
Hito 3. Realización de asistencias técnicas, talleres y cursos para la generación de capacidades en los territorios=20%.
Hito 4. Informe sobre la implementación de las acciones de generación de capacidades en modalidad virtual o presencial en los territorios identificados en la caracterización=20%.</t>
  </si>
  <si>
    <t>PNG-Nación</t>
  </si>
  <si>
    <t>3.13 Desarrollar procesos de fortalecimiento de capacidades al talento humano en salud con los actores responsables, en modalidad presencial y/o virtual con especial énfasis en las entidades territoriales priorizados según resultados en salud, en el marco de la Ruta de Promoción y Mantenimiento de la Salud, involucrando en ello escenarios de dialogo con las practicas de cuidado tradicional.</t>
  </si>
  <si>
    <t>Porcentaje de avance en el desarrollo de los procesos de fortalecimiento de capacidades al talento humano en salud con los actores responsables, en modalidad presencial y/o virtual con especial énfasis en las entidades territoriales priorizados según resultados en salud, en el marco de la Ruta de Promoción y Mantenimiento de la Salud, involucrando en ello escenarios de dialogo con las practicas de cuidado tradicional.</t>
  </si>
  <si>
    <t>Sumatoria del porcentaje de avance en desarrollo de los procesos de fortalecimiento de capacidades al talento humano en salud con los actores responsables, en modalidad presencial y/o virtual con especial énfasis en las entidades territoriales priorizados según resultados en salud, en el marco de la Ruta de Promoción y Mantenimiento de la Salud, involucrando en ello escenarios de dialogo con las practicas de cuidado tradicional
Hito 1. Recolección de insumos técnicos con las comunidades indígenas, Negras, Afrocolombianas, Raizales y Palenqueras, para la estructuración de un documento que contenga la estrategia de articulación del sector salud con agentes comunitarios, parteras y sabedores de las poblaciones indígenas, Negras, Afrocolombianas, Raizales y Palenqueras=20%.
Hito 2. Documento con las orientaciones para el fortalecimiento de capacidades dirigido a las entidades territoriales con enfoque diferencial, étnico=20%.
Hito 3. Caracterización de los territorios en los que se realizarán las acciones con base en los indicadores de moralidad materna=20%.
Hito 4. Implementación de las acciones de generación de capacidades en modalidad virtual o presencial en los territorios identificados en la caracterización=25%.
Hito 5. Informe sobre la implementación de las actividades de generación de capacidades en los territorios seleccionados=15%.</t>
  </si>
  <si>
    <t>Sumatoria del porcentaje de avance en el diseño y difusión entre los actores involucrados, de un lineamiento que contenga un modelo de incentivos con acciones financieras y no financieras para mejorar y garantizar  la disponibilidad del talento humano en salud en todo el territorio nacional incluidas las zonas rurales dispersas
Hito 1. Documento con el lineamiento que contenga un modelo de incentivos con acciones financieras y no financieras para mejorar y garantizar  la disponibilidad del talento humano en salud en todo el territorio nacional incluidas las zonas rurales dispersas=70%.
Hito 2. Informe de análisis de difusión entre los actores involucrados, de un lineamiento que contenga un modelo de incentivos con acciones financieras y no financieras para mejorar y garantizar  la disponibilidad del talento humano en salud en todo el territorio nacional incluidas las zonas rurales dispersas=30%.
Nota: El 10% de la línea de base corresponde al avance en la redacción del lineamiento de incentivos con acciones financieras y no financieras para mejorar y garantizar  la disponibilidad del talento humano en salud</t>
  </si>
  <si>
    <t>Sumatoria del porcentaje de avance en la elaboración y divulgación de los  lineamientos de los contenidos temáticos para que los actores del Sistema General de Seguridad Social en Salud adelanten las acciones de información; educación y comunicación en el marco de las RIAS y las Guías Alimentarias Basadas en Alimentos
Hito 1. Documento Elaborado=30%.
Hito 2. Divulgación de los contenidos temáticos en el marco de la implementación de las RIAS con actores del SGSSS=70%.</t>
  </si>
  <si>
    <t>Sumatoria del porcentaje de avance en la elaboración de lineamientos para la implementación del Mecanismo Articulador a nivel nacional y territorial
Hito 1. Implementar el Mecanismo Articulador en el 100% del territorio nacional=10%.
Hito 2. Documento que contenga lineamientos para la prevención de la violencia basada en género contra mujeres, niños, niñas y adolescentes. (Comité de Promoción y Prevención)=20%.
Hito 3. Documento que contenga la ruta de atención integral de la violencia  basada en género contra mujeres, niños, niñas y adolescentes  de acuerdo a cada una de las violencias priorizadas (Comité de Atención Integral)=20%.
Hito 4. Definir una estrategia de seguimiento y evaluación de la implementación de los lineamientos de articulación en el marco de la protección y acceso a la justicia de las mujeres víctimas de violencias basadas en género. (Comité de  Protección, Cualificación y Acceso a la Justicia)=20%.
Hito 5. Estrategia de gestión del conocimiento territorial para el análisis de las violencias de género contra mujeres, niños, niñas  donde se incluya la información del SIVIGE.=20%.
Hito 6. Emitir lineamientos para garantizar la participación de la sociedad civil en el Mecanismo Articulador=10%.</t>
  </si>
  <si>
    <t>Número de socializaciones sobre prevención de la violencia de género realizadas en el marco de espacios de participación social del programa Familias en Acción.</t>
  </si>
  <si>
    <t>Sumatoria del número de socializaciones sobre prevención de la violencia de género realizadas en el marco de espacios de participación social del programa Familias en Acción.</t>
  </si>
  <si>
    <t>Número de protocolos sectoriales acompañados.</t>
  </si>
  <si>
    <t>Sumatoria del número de protocolos sectoriales acompañados.</t>
  </si>
  <si>
    <t>Sumatoria del porcentaje de avance en la estructuración y puesta en marcha una estrategia de comunicación digital
Hito 1. Estructuración de la estrategia: Elaboración objetivos, contenidos y definición de alcance=25%.
Hito 2. Desarrollo de la Estrategia: Producción de piezas de comunicación y contenidos=25%.
Hito 3. Socialización y divulgación de la estrategia=50%.</t>
  </si>
  <si>
    <t>Sumatoria del porcentaje de avance en el desarrollo de procesos de formación en género para la prevención de violencias basadas en género
Hito 1. Planes de Capacitación Extracurricular y sensibilización sobre prevención y atención a la violencia basada en género=30%.
Hito 2. Actualización de lineamientos y protocolos para la prevención y atención a la violencia basada en género=30%.
Hito 3. Socialización y apropiación de lineamientos y protocolos=40%.</t>
  </si>
  <si>
    <t>Número de entidades territoriales que implementen la Iniciativa Nacional para la Equidad, Emprendimiento y Seguridad de Mujeres Rurales (INES) con entidades nacionales y/o territoriales.</t>
  </si>
  <si>
    <t>Sumatoria del porcentaje de avance en el diseño e implementación de los lineamientos técnicos para la transversalización del enfoque de género en la implementación de los PDET, especialmente en las iniciativas con etiqueta de género  y mujer rural
Hito 1. Diseño de Lineamientos por parte de la ART=30%.
Hito 2. Socialización de  lineamientos a la ART y actores estratégicos involucrados en la implementación de los PDET=20%.
Hito 3. Implementación de los lineamientos=50%.</t>
  </si>
  <si>
    <t>5.8 Desarrollar e implementar una herramienta digital para el seguimiento al avance de las medidas para la transversalización del enfoque de género en los planes y programas establecidos en el Acuerdo Final en articulación con la Política de Equidad para las Mujeres.</t>
  </si>
  <si>
    <t>Porcentaje de avance en el desarrollo e implementación de una herramienta digital para el seguimiento al avance de las medidas para la transversalización del enfoque de género en los planes y programas establecidos en el Acuerdo Final en articulación con la Política de Equidad para las Mujeres.</t>
  </si>
  <si>
    <t>Sumatoria del porcentaje de avance en el desarrollo e implementación de una herramienta digital para el seguimiento al avance de las medidas para la transversalización del enfoque de género en los planes y programas establecidos en el Acuerdo Final en articulación con la Política de Equidad para las Mujeres
Hito 1. Presentar herramienta digital para el seguimiento al avance de las medidas para la transversalización del enfoque de género en los planes y programas establecidos en el Acuerdo Final=40%.
Hito 2. Promoción del uso de la herramienta digital como aplicativo para asistencia técnica y divulgación sobre la transversalización del enfoque de género en los planes y programas establecidos en el Acuerdo Final=20%.
Hito 3. Actualización periódica de la información=40%.</t>
  </si>
  <si>
    <t>5.13 Desarrollar e implementar una herramienta digital para el seguimiento al avance de las medidas para la transversalización del enfoque de género en los planes y programas establecidos en el Acuerdo Final en articulación con la Política de Equidad para las Mujeres.</t>
  </si>
  <si>
    <t>Porcentaje de avance en Desarrollar e implementar una herramienta digital para el seguimiento al avance de las medidas para la transversalización del enfoque de género en los planes y programas establecidos en el Acuerdo Final en articulación con la Política de Equidad para las Mujeres.</t>
  </si>
  <si>
    <t>Sumatoria de porcentaje de avance en desarrollar e implementar una herramienta digital para el seguimiento al avance de las medidas para la transversalización del enfoque de género en los planes y programas establecidos en el Acuerdo Final en articulación con la Política de Equidad para las Mujeres
Hito 1. Presentar herramienta digital para el seguimiento al avance de las medidas para la transversalización del enfoque de género en los planes y programas establecidos en el Acuerdo Final=40%.
Hito 2. Promoción del uso de la herramienta digital como aplicativo para asistencia técnica y divulgación sobre la transversalización del enfoque de género en los planes y programas establecidos en el Acuerdo Final=20%.
Hito 3. Actualización periódica de la información=40%.</t>
  </si>
  <si>
    <t xml:space="preserve">Grupo de Trabajo de Género, Dirección de Diálogo Social </t>
  </si>
  <si>
    <t>Sumatoria del porcentaje de avance en la estructuración de la estrategia de autoprotección, autocuidado y bienestar emocional dirigido a mujeres lideresas y defensoras de derechos humanos
Hito 1. Documento que contenga la identificación de buenas prácticas e intercambio de experiencias en materia de autoprotección y autocuidado de las mujeres lideresas y defensoras de derechos humanos=15%. 
Hito 2. Documento que contenga la propuesta metodológica en los procesos en materia de autoprotección, autocuidado y bienestar emocional para mujeres lideresas y defensoras de derechos humanos=15%.
Hito 3. Socialización del documento de estrategia de autoprotección y autocuidado con las entidades relacionadas con la estrategia de autoprotección y autocuidado=15%.
Hito 4. Implementación de la estratégica para la autoprotección, autocuidado y bienestar emocional para mujeres lideresas y defensoras de derechos humanos=40%. 
Hito 5. Balance del proceso adelantado=15%.</t>
  </si>
  <si>
    <t>Sumatoria del porcentaje en avance de la identificación y promoción de buenas prácticas en la participación de las mujeres en las Circunscripciones Transitorias Especiales de paz
Hito 1. Documento con diagnóstico y mapeo de actores estratégicos= 20%.
Hito 2. Formulación de recomendaciones=30%.
Hito 3. Socialización de diagnóstico y recomendaciones con actores y organizaciones de mujeres=20%.
Hito 4. Formación y acompañamiento, en el marco de la Escuela Mujeres líderesas por Colombia, a mujeres que participarían en el marco de las Circunscripciones Transitorias Especiales de paz=15%.
Hito 5. Informe de análisis de resultados de mujeres en Circunscripciones Transitorias Especiales de Paz=15%.</t>
  </si>
  <si>
    <t>5.20 Garantizar una mayor presencia y reconocimiento de las mujeres en la Fuerza Pública, en cumplimiento de las normas nacionales e internacionales que contemplan  el incremento de la participación femenina en todos los niveles (estratégico, táctico y operacional) y especialidades</t>
  </si>
  <si>
    <t>Porcentaje de avance en el diseño, expedición y socialización de la estrategia para el fortalecimiento de las Oficinas, Áreas y Grupos de Género al interior de la Fuerza Pública.</t>
  </si>
  <si>
    <t>Sumatoria del porcentaje de avance en el diseño, expedición y socialización de la estrategia para el fortalecimiento de las Oficinas, Áreas y Grupos de Género al interior de la Fuerza Pública 
Hito 1. Documento borrador que defina los lineamientos para el fortalecimiento de las Oficinas, Áreas y Grupos de Género (cargos, estructura, competencias, perfiles, etc.)=50%.
Hito 2. Documento definitivo de lineamientos=50%.</t>
  </si>
  <si>
    <t>Sumatoria del porcentaje de avance en el diseño e implementación de la campaña de reconocimiento sobre la importancia de la labor de las mujeres en la construcción de la Paz
Hito 1. Documento que contenga identificación de las buenas prácticas adelantadas por mujeres y sus organizaciones en la construcción de la paz=25%.
Hito 2. Documento que contenga identificación de actores estratégicos (públicos, privados, de cooperación internacional) para el fortalecimiento de la campaña de reconocimiento a la labor desarrollada por las mujeres en la construcción de la paz=15%.
Hito 3. Documento conceptual que contenga la campaña dirigida al reconocimiento sobre la importancia de la labor de las mujeres en la construcción de la Paz=20%.
Hito 4. Implementación de la campaña de reconocimiento sobre la importancia de la labor de las mujeres en la construcción de la Paz=30%.
Hito 5. Balance del proceso adelantado=10%.</t>
  </si>
  <si>
    <t xml:space="preserve">5.24 Diseñar recomendaciones para el fortalecimiento del enfoque de género en el Sistema Integral de Seguridad para el Ejercicio de la Política -SISEP. </t>
  </si>
  <si>
    <t>Natalia Meléndez</t>
  </si>
  <si>
    <t>Porcentaje de avance en el diseño de recomendaciones para el fortalecimiento del enfoque de género en el Sistema Integral de Seguridad para el Ejercicio de la Política -SISEP.</t>
  </si>
  <si>
    <t>Sumatoria del porcentaje de avance en el diseño de recomendaciones para el fortalecimiento del enfoque de género en el Sistema Integral de Seguridad para el Ejercicio de la Política -SISEP
Hito 1. Contactar a las entidades y los partidos políticos para la creación de recomendaciones en el marco del Comité Operativo de Mujer y Género de la instancia de alto nivel=20%.
Hito 2. Generación de insumos para para creación de recomendaciones en el marco del Comité el Comité Operativo de Mujer y Género de la instancia de alto nivel=30%,
Hito 3. Elaboración de recomendaciones=30%. 
Hito 4. Socialización de las recomendaciones en el marco de Comité Operativo de la Instancia de alto nivel=20%.</t>
  </si>
  <si>
    <t>Dirección de Reparación/Grupo de Enfoque Psicosocial</t>
  </si>
  <si>
    <t>Sumatoria de mujeres victimas del conflicto armado que acceden a las medidas de satisfacción individual a través de la estrategia Vivificarte.</t>
  </si>
  <si>
    <t>5.28 Desarrollar e implementar una herramienta digital para el seguimiento al avance de las medidas para la transversalización del enfoque de género en los planes y programas establecidos en el Acuerdo Final en articulación con la Política de Equidad para las Mujeres.</t>
  </si>
  <si>
    <t>Sumatoria del porcentaje de avance en el desarrollo e implementación de una herramienta digital para el seguimiento al avance de las medidas para la transversalización del enfoque de género en los planes y programas establecidos en el Acuerdo Final en articulación con la Política de Equidad para las Mujeres.
Hito 1. Presentar herramienta digital para el seguimiento al avance de las medidas para la transversalización del enfoque de género en los planes y programas establecidos en el Acuerdo Final=40%.
Hito 2. Promoción del uso de la herramienta digital como aplicativo para asistencia técnica y divulgación sobre la transversalización del enfoque de género en los planes y programas establecidos en el Acuerdo Final=20%.
Hito 3. Actualización periódica de la información=40%.</t>
  </si>
  <si>
    <t>Sumatoria del porcentaje de avance en la creación e implementación del capítulo de género en el Observatorio del Deporte
Hito 1. Inclusión del capitulo de genero en el Observatorio Nacional del Deporte por acto administrativo=25%.
Hito 2. Construcción del inventario de oferta y demanda de  información susceptible de análisis de género en el Ministerio= 20%.
Hito 3. Publicación de los datos identificados en el inventario de oferta y demanda con enfoque de género en el Ministerio=30%.
Hito 4. Publicación académica especializada en temas de enfoque de género en el sector DRAF=25%.</t>
  </si>
  <si>
    <t>Sumatoria del porcentaje de avance en el diseño, la socialización y el seguimiento a la implementación de lineamientos para la transversalización del enfoque de género en el sector salud
Hito 1. Lineamiento diseñado y formalizado=20%.
Hito 2. Lineamientos socializados en todos los departamentos y distritos=30%.
Hito 3. Asistencias técnicas para acompañar la implementación de lineamientos para la transversalización del enfoque de género por parte de departamentos y distritos=30%.
Hito 4. Informe anual de seguimiento a la implementación de lineamientos para la transversalización del enfoque de género por parte de departamentos y distritos=20%.</t>
  </si>
  <si>
    <t xml:space="preserve">6.22 Implementar la estrategia de enfoque de género en la ejecución e informes del Censo Económico de Colombia, incluyendo información sobre características de los establecimientos de acuerdo con el sexo de la persona propietaria y de establecimientos económicos que ofrecen servicios de cuidados. </t>
  </si>
  <si>
    <t>Sumatoria del porcentaje de avance en la implementación del enfoque de género en el Censo Económico de Colombia
Hito 1. Seguimiento a resultados del Conteo de Unidades Económicas 2021=10%.
Hito 2. Apoyo al operativo del Censo Experimental 2022 (capacitación, sensibilización, seguimiento a los resultados, entre otros)=15%.
Hito 3. Incorporación de ajustes según resultados del Conteo de Unidades Económicas 2021 y Censo Experimental 2022=15%.
Hito 4. Apoyo al operativo del Censo Económico 2023 (capacitación y sensibilización del personal, seguimiento a resultados, etc.)=20%.
Hito 5. Publicación de resultados del Censo desagregados por sexo de la persona propietaria=20%.
Hito 6. Desagregación de resultados sobre establecimientos relacionados con la economía del cuidado=20%.</t>
  </si>
  <si>
    <t>Sumatoria del porcentaje de avance en el proceso de actualización automática de información del Observatorio Colombiano de las Mujeres a partir de las fuentes de información producidas por el DANE y por las demás entidades que reportan información periódica al Observatorio
Hito 1. Documento con propuesta metodológica para la automatización de la actualización de indicadores=20%.
Hito 2. Aprobación de documento metodológico por parte del comité del observatorio=20%.
Hito 3. Socializar el proceso de actualización automática definido con las entidades productoras de información=20%.
Hito 4. Ejecutar el proceso de actualización automática=40%.</t>
  </si>
  <si>
    <t xml:space="preserve"> Porcentaje de avance en el diseño e implementación de una estrategia para promover la transformación cultural desde la creación, producción y circulación de contenidos audiovisuales bajo estándares sociales orientados a la eliminación de la violencia de género contra las mujeres y reproducción de estereotipos de género que afectan de manera principal a las mujeres.</t>
  </si>
  <si>
    <t>Sumatoria del porcentaje de avance en el diseño e implementación de una estrategia para promover la transformación cultural desde la creación, producción y circulación de contenidos audiovisuales bajo estándares sociales orientados a la eliminación de la violencia de género contra las mujeres y reproducción de estereotipos de género que afectan de manera principal a las mujeres
Hito 1. Elaboración  y publicación digital de un documento que contenga  recomendaciones sobre la realización, producción y circulación de contenidos audiovisuales bajo estándares sociales orientados a la eliminación de la violencia de género contra las mujeres y reproducción  de estereotipos de género que afectan de manera principal a las mujeres=40%.
Hito 2. Documento con plan de articulación con las entidades responsables del tema de equidad de género, para socializar y difundir las recomendaciones del documento=30%. 
Hito 3. Informe con la implementación de la estrategia para promover la transformación cultural desde la creación, producción y circulación de contenidos audiovisuales bajo estándares sociales orientados a la eliminación de la violencia de género contra las mujeres y reproducción de estereotipos de género que afectan de manera principal a las mujeres=20%.
Hito 4. Socialización del documento con la estrategia a través de un Taller Audiovisual de Pluralismo TAP, dentro de la estrategia de pedagogía ciudadana del ecosistema audiovisual en articulación con otras entidades interesadas=10%.</t>
  </si>
  <si>
    <t>Sumatoria del porcentaje de avance en el diseño e implementación de una estrategia de formación para el fortalecimiento de las capacidades en género e interseccionalidad de funcionarios y mujeres lideresas rurales para el diseño y ejecución de instrumentos de política pública del sector agricultura y desarrollo rural con enfoque territorial diferencial
Hito 1. Propiciar la articulación con entidades públicas o privadas y organismos de cooperación para el desarrollo de la estrategia de formación=5%.
Hito 2. Identificación y focalización de la estrategia=5%.
Hito 3. Diseño de la estrategia de formación=5%.
Hito 4. Desarrollo de la estrategia, prueba piloto y su evaluación=15%.
Hito 5. Levantamiento de la línea de base e implementación de la estrategia=50%. (cada año tiene un peso de 10%)
Hito 6. Seguimiento y monitoreo de la estrategia=10%.
Hito 7. Evaluación de la estrategia=10%.</t>
  </si>
  <si>
    <t>Sumatoria del porcentaje de avance en el diseño e implementación de la estrategia de formación en control social dirigida a mujeres rurales
Hito 1. Diseño de la estrategia de formación en control social dirigido a mujeres rurales=20%.
Hito 2. Desarrollo del  contenido del módulo de control social dirigido a mujeres rurales=30%.
Hito 3. Desarrollo de talleres de formación en control social dirigido a mujeres rurales=30%.
Hito 4. Seguimiento a la estrategia de formación en control social dirigida a mujeres rurales=20%.</t>
  </si>
  <si>
    <t>X</t>
  </si>
  <si>
    <t>Porcentaje de avance en el desarrollo de la estrategia para el robustecimiento y actualización de los sistemas de información y gestión de la Rama Judicial.</t>
  </si>
  <si>
    <t>Sumatoria del porcentaje de avance en el desarrollo de la estrategia para el robustecimiento y actualización de los sistemas de información y gestión de la Rama Judicial.
Hito 1. Diseño de la estrategia=40%.
Hito 2. Informe de implementación de la estrategia=60%. [10% por año desde 2025].</t>
  </si>
  <si>
    <t>(Número de mujeres en juntas directivas de empresas industriales y comerciales del Estado / Número total de miembros de juntas directivas de empresas industriales y comerciales del Estado) x 100
Nota: las metas no incluyen el valor de la línea base.</t>
  </si>
  <si>
    <t>6.19 Implementar una estrategia de acompañamiento sectorial para asegurar la efectiva implementación del Trazador Presupuestal de Equidad para la Mujer, su asociación con las acciones de la presente política y la puesta en marcha de proyectos encaminados a cerrar la brecha de género en el marco de las competencias de las entidades.</t>
  </si>
  <si>
    <t>4.12 Crear la iniciativa "Empodérate Mujer Libérate de la Violencia", por medio de la cual el personal policial de las diferentes unidades del país, atenderán las medidas de protección de mujeres víctimas de violencia dispuestas por la autoridad competente, de conformidad al decreto 4799 de2011 y la Ley 1257 de 2008 conforme a lo dispuesto en el artículo 16y 17, y demás normas que regulan el tema.</t>
  </si>
  <si>
    <t>4.13 Elaborar un documento de seguimiento y monitoreo de los lineamientos de Resocialización con Enfoque de Justicia Restaurativa.</t>
  </si>
  <si>
    <t>4.14 Socializar los lineamientos para la implementación del programa nacional de prevención de la reincidencia desde un modelo de atención postpenitenciario -  Casa Libertad.</t>
  </si>
  <si>
    <t>4.15 Realizar socializaciones sobre prevención de la violencia de género en el marco de los espacios de participación social del programa Familias en Acción.</t>
  </si>
  <si>
    <t>4.16  Desarrollar una estrategia para robustecer los sistemas de información de data cualitativa y cuantitativa de violencia contra las mujeres en el marco del Mecanismo Articulador con miras a su interoperabilidad.</t>
  </si>
  <si>
    <t xml:space="preserve">4.17  Desarrollar una estrategia para robustecer y actualizar los sistemas de información y gestión de la Rama Judicial con el propósito de contar con información desagregada y   hacer seguimiento a los procesos por delitos de violencias basadas en género contra las mujeres. </t>
  </si>
  <si>
    <t xml:space="preserve">4.18 Fortalecer  la estrategia de elaboración de protocolos sectoriales sobre violencias basadas en género que afectan a las mujeres y efectuar un seguimiento a la implementación de los mismos. </t>
  </si>
  <si>
    <t>4.19 Socializar y divulgar los lineamientos técnicos estratégicos de educación, para fomentar la incorporación de acciones de prevención de las violencias contra las mujeres en el ámbito educativo, en las Instituciones de Educación Superior.</t>
  </si>
  <si>
    <t>4.20 Diseñar e implementar un plan estratégico de protección integral y restablecimiento de derechos deportivos a mujeres y niñas víctimas de violencia basada en género en el sector DRAF.</t>
  </si>
  <si>
    <t>4.21 Estructurar y poner en marcha una estrategia de comunicación digital para prevenir, controlar y mitigar las violencias que se ejercen contra las mujeres en los entornos digitales. </t>
  </si>
  <si>
    <t>4.22  Diseñar y socializar una estrategia para la prevención, atención y sanción social de la violencia contra las mujeres en el espacio público y el transporte haciendo especial énfasis en el acoso sexual.</t>
  </si>
  <si>
    <t>4.23  Prevenir la vulneración de derechos, desigualdad, discriminación y tolerancia a las diferentes formas de violencias basadas en género al interior de la Fuerza Pública y en su quehacer externo.</t>
  </si>
  <si>
    <t>4.24  Elaborar un curso de refuerzo con contenido pedagógico con enfoque de género en el marco de la implementación del programa “En TIC Confío +”, orientado a la identificación, prevención y denuncia de riesgos y delitos cibernéticos para el mapeo y gestión de riesgos cibernéticos con enfoque de género.</t>
  </si>
  <si>
    <t>Viviana Rocío Vanegas Barrero</t>
  </si>
  <si>
    <t>Porcentaje de avance en la elaboración y socialización de una guía de buenas prácticas para fomentar la equidad de género y mitigar los sesgos de género en la aplicación de Inteligencia Artificial.</t>
  </si>
  <si>
    <t>Sumatoria del porcentaje de avance en la elaboración y socialización de una guía de buenas prácticas para fomentar la equidad de género y mitigar los sesgos en la aplicación de Inteligencia Artificial
Hito 1. Documento de avance con la identificación de buenas prácticas para la mitigación de riesgos asociados a sesgos de género en el desarrollo e implementación de soluciones basadas en IA=30%.
Hito 2. Guía de buenas prácticas para mitigar la incidencia de los sesgos de género en el uso y aplicación de Inteligencia Artificial en el país=40%.
Hito 3. Socialización  de   la guía de buenas prácticas con actores clave que tengan incidencia en materia de género e Inteligencia artificial=30%.</t>
  </si>
  <si>
    <t>Porcentaje de avance en el diseño e implementación de una ruta de acceso, uso y apropiación de las TIC por parte de las mujeres.</t>
  </si>
  <si>
    <t xml:space="preserve">4.9 Elaborar y publicar una política con orientaciones para la formación especializada en género y derechos de las mujeres para los servidores públicos de los funcionarios con competencia en prevención, sanción, investigación y atención de violencias basadas en género, tanto a nivel nacional como territorial. </t>
  </si>
  <si>
    <t>Departamento Administrativo de la Presidencia de la República; Fiscalía General de la Nación;  Consejo Superior de la Judicatura</t>
  </si>
  <si>
    <t>Consejería Presidencial para la Equidad de la Mujer; Dirección de Altos Estudios; Dirección Escuela Judicial</t>
  </si>
  <si>
    <t>Gheidy Gallo; Yully Astrid Quiroga Forero; Mary Lucero Novoa</t>
  </si>
  <si>
    <t>gheidygallo@presidencia.gov.co; yully.quiroga@fiscalia.gov.co; mnovoam@cendoj.ramajudicial.gov.co</t>
  </si>
  <si>
    <t>1.15 Diseñar e implementar una ruta de acceso, uso y apropiación de las TIC por parte de las mujeres.</t>
  </si>
  <si>
    <t xml:space="preserve">1.16 Elaborar una estrategia para ampliar la vinculación de las niñas y las mujeres a los programas de uso y apropiación de las TIC, así como de desarrollo de habilidades digitales con enfoque de género con el fin de disminuir la brecha digital de género, teniendo en consideración variables como la edad, el grupo étnico, el contexto urbano - rural, el nivel educativo y capacidades de aprendizaje diversos. </t>
  </si>
  <si>
    <t>1.17 Elaborar y socializar una guía de buenas prácticas para fomentar la equidad de género y mitigar los sesgos en la aplicación de Inteligencia Artificial.</t>
  </si>
  <si>
    <t>1.18 Diseñar e implementar una estrategia que incentive la inscripción de mujeres en cursos asociados a tecnologías de habilidades digitales.</t>
  </si>
  <si>
    <t xml:space="preserve">1.19 Realizar un estudio que permita identificar posibles sesgos de género existentes en el Código Sustantivo del Trabajo y que emita recomendaciones que sirvan de insumo a la actualización del mismo. </t>
  </si>
  <si>
    <t>1.20 Diseñar e implementar un protocolo de inspección para la verificación de normas laborales en el tema de genero, con el propósito de realizar inspecciones en campo, priorizando empresas de sectores críticos de la economía.</t>
  </si>
  <si>
    <t>1.21 Definir la estrategia para el escalonamiento de los programas de equidad laboral, con énfasis en el acompañamiento y difusión de las herramientas del modelo dirigido a empresas (pequeñas, medianas y microempresas) y asociaciones pertenecientes a los diferentes sectores económicos.</t>
  </si>
  <si>
    <t xml:space="preserve">1.22 Diseñar e implementar una estrategia articulada que promueva la inserción laboral de las mujeres priorizando los sectores tradicionalmente masculinizados y otros que representen alto potencial de empleabilidad, en contextos urbanos y rurales. </t>
  </si>
  <si>
    <t>1.23 Socializar y acompañar la implementación de la Guía de Inclusión Laboral con Enfoque de Género a los prestadores del Servicio Público de Empleo para el fortalecimiento de la ruta de empleabilidad en el marco del Modelo de Inclusión Laboral con Enfoque de Cierre de Brechas.</t>
  </si>
  <si>
    <t>1.24 Socializar y sensibilizar a gremios económicos y potenciales empleadores priorizados para la apropiación por parte de estos actores de la estrategia inclusión laboral con enfoque de género en el marco del Modelo de Inclusión Laboral con Enfoque de Cierre de Brechas.</t>
  </si>
  <si>
    <t>1.25 Ampliar la estrategia de sensibilización y articulación para impulsar la empleabilidad de mujeres en sectores altamente masculinizados que tengan alto potencial económico, con entidades del orden nacional territorial y sector privado.</t>
  </si>
  <si>
    <t>1.26 Integrar el enfoque de género en la formulación de la Estrategia de Transición Justa de la Fuerza Laboral del país, de manera que se garantice la igualdad de derechos y oportunidades para las mujeres y los hombres en las acciones desarrolladas para avanzar hacia economías y empleos verdes, en el paso a la carbono-neutralidad.</t>
  </si>
  <si>
    <t>1.27 Priorizar el acceso igualitario a las oportunidades laborales de los nuevos proyectos de Asociaciones Público-Privadas, para disminuir la brecha de inequidad que existe actualmente en el sector, a través del incremento progresivo de las cuotas de género que ya se encuentran en los contratos de la Quinta Generación de Concesiones en labores de tipo operativo.</t>
  </si>
  <si>
    <t>1.28 Priorizar el acceso igualitario a las oportunidades laborales de los nuevos proyectos de Asociaciones Público-Privadas, para disminuir la brecha de inequidad que existe actualmente en el sector, a través del incremento progresivo de las cuotas de género que ya se encuentran en los contratos de la Quinta Generación de Concesiones en labores de tipo gerencial.</t>
  </si>
  <si>
    <t>1.29 Liderar la consolidación de una alianza público-privada para la equidad de género, por medio de la cual se diseñe y ejecute un plan estratégico que conlleve a avanzar hacia la igualdad de oportunidades para hombres y mujeres en el sector minero-energético, incluida la identificación, sistematización y divulgación de buenas prácticas.</t>
  </si>
  <si>
    <t>1.30 Implementar los incentivos económicos de apoyo al empleo formal para mujeres, de acuerdo con el marco legal vigente en torno a los mismos.</t>
  </si>
  <si>
    <t>1.31 Diseñar e implementar un programa de gobierno corporativo con enfoque de género para impulsar la participación de las mujeres en altos cargos de empresas privadas y empresas mixtas con participación mayoritaria del Estado.</t>
  </si>
  <si>
    <t xml:space="preserve">1.32  Adelantar análisis que permitan identificar los impactos de género de políticas sociales y/o de política fiscal y generar recomendaciones </t>
  </si>
  <si>
    <t>1.33  Articular con otras entidades, procesos de formación para vincular a gestoras en movilidad segura, con el fin de fortalecer la participación de las mujeres en escenarios no convencionales y aportar a la autonomía económica de las mismas.</t>
  </si>
  <si>
    <t>1.34 Implementar una estrategia para asegurar la sostenibilidad del Fondo Mujer Emprende como el  instrumento de política pública para el empoderamiento económico de las mujeres a través del emprendimiento  y el cierre de brechas de género, materializando  su vocación de permanencia.</t>
  </si>
  <si>
    <t xml:space="preserve">1.35 Crear la unidad de data y analítica del Fondo Mujer Emprende para generar información detallada cualitativa y cuantitativa de emprendimiento y empresa de mujer a nivel nacional, regional y sectorial . </t>
  </si>
  <si>
    <t xml:space="preserve">1.36 Crear la mesa intersectorial para armonizar la oferta de emprendimiento del Gobierno Nacional para hacer rentables, sostenibles y escalables los emprendimientos de mujeres. </t>
  </si>
  <si>
    <t xml:space="preserve">1.37 Promover una mentalidad y cultura emprendedora, que incorpore el enfoque de equidad de género al ejercicio emprendedor y empresarial de la mujer. 
</t>
  </si>
  <si>
    <t>1.38 Fortalecer el programa de apoyo a la formalización empresarial de micro y pequeñas empresas de mujeres, incluyendo componentes que estimulen la educación e inclusión financiera (contemplando acciones que promuevan el acceso al crédito, las garantías mobiliarias u otros mecanismos de financiamiento).</t>
  </si>
  <si>
    <t>1.39 Apoyar la formalización de empresas de mujeres o de mujeres prestadoras de servicios turísticos, bajo un enfoque de género en el sector turismo.</t>
  </si>
  <si>
    <t>1.40 Fomentar la autonomía socio económica de la mujer, la formalización empresarial y su rol de liderazgo y visibilización en la administración de empresas solidarias autosostenibles, a través de la implementación del Plan Nacional de Fomento a la Economía Solidaria – PLANFES y el Programa Integral de Intervención a la Medida- PIIM.</t>
  </si>
  <si>
    <t>1.41 Priorizar, dentro de las acciones de soporte a los emprendedores, la asesoría para el fortalecimiento empresarial de las empresas de mujeres.</t>
  </si>
  <si>
    <t>1.42 Consolidar, actualizar  y cofinanciar el Banco de Proyectos Productivos  del Fondo Mujer Emprende, con proyectos asociativos de mujeres estructurados a partir de iniciativas regionales, con vocación para competir en cadenas globales de valor.</t>
  </si>
  <si>
    <t xml:space="preserve">1.43 Diseñar y ajustar los instrumentos financieros existentes que permitan una profundización en el sistema financiero en segmentos de mujeres empresarias y emprendedoras para implementar productos alternativos de financiación vía deuda, equity y cofinanciación. </t>
  </si>
  <si>
    <t xml:space="preserve">1.44 Diseñar e implementar programas de asistencia técnica para  empresas y emprendimientos de mujeres, que permita el cumplimiento de requerimientos  técnicos que aseguren la calidad y competitividad de producto necesarios para acceder  a encadenamientos productivos, compras públicas y otras oportunidades de mercado. </t>
  </si>
  <si>
    <t>1.45 Convocar a empresas de mujeres para que participen y se beneficien de las líneas orientación a la expansión internacional o desarrollo de habilidades en comercio exterior de proyectos especiales.</t>
  </si>
  <si>
    <t>1.46 Fomentar la inversión extranjera que vincule como proveedores a emprendimientos femeninos destacados.</t>
  </si>
  <si>
    <t xml:space="preserve">1.47 Elaborar un estudio de las condiciones de acceso al crédito, buscando identificar posibles diferencias entre deudores hombres y mujeres. El estudio incluirá: i) análisis que caracterice el acceso y comportamiento del crédito formal por género, evaluando elementos como: valor promedio de los créditos, tasas de interés, calificación de riesgo, entre otros, a partir de datos desagregados a nivel de deudores; ii) análisis que permita identificar y caracterizar conductas que puedan impactar a los consumidores financieros de manera diferencial por género, a través del análisis de la información de gestión de reclamaciones por sexo.  </t>
  </si>
  <si>
    <t>1.48 Definir estrategias para fomentar el acceso a oportunidades de capacitación en investigación y emprendimiento para niñas, adolescentes y jóvenes.</t>
  </si>
  <si>
    <t>1.49 Apoyar la formalización de empresas de mujeres o de mujeres prestadoras de servicios turísticos, bajo un enfoque de género en el sector turismo.</t>
  </si>
  <si>
    <t>1.50 Impulsar la participación del Gobierno de Colombia en instancias que fomenten el diseño y la implementación de la Política de Género desde un enfoque internacional.</t>
  </si>
  <si>
    <t>1.51 Diseñar e implementar una ruta de atención para la creación de oportunidades económicas a mujeres en condiciones de vulnerabilidad.</t>
  </si>
  <si>
    <t>1.53 Generar una estrategia para aumentar la vinculación de mujeres sujeto de protección social a programas de empleabilidad, promoviendo la participación de empresas de todos los sectores económicos del país.</t>
  </si>
  <si>
    <t>1.54 Vincular a las mujeres en los programas de emprendimiento, con el fin de contribuir al mejoramiento de los niveles de inclusión productiva de las mujeres en situación de pobreza, vulnerabilidad y victimas de desplazamiento forzado.</t>
  </si>
  <si>
    <t>1.55 Diseñar una propuesta de lineamientos técnicos para socializar con los ejecutores de proyectos de mejoramiento de entorno que incorporen la prevención de violencias y la economía del cuidado como parte integral del relacionamiento de las comunidades beneficiarias de estos procesos.</t>
  </si>
  <si>
    <t>1.56  Elaborar lineamientos para la incorporación del enfoque de género en el sector de agua y saneamiento básico para impulsar el acceso pertinente y adecuado de las mujeres a los servicios y potenciar su participación en las actividades de operación y mantenimiento de los sistemas.</t>
  </si>
  <si>
    <t>1.57  Asignar subsidios familiares de vivienda de adquisición a hogares que contengan como mínimo una mujer dentro del núcleo familiar, previo cumplimiento de los requisitos de los programas, fomentando así el acceso de la población femenina a una vivienda digna.</t>
  </si>
  <si>
    <t>1.58 Disminuir la brecha de acceso a tierras en los programas de regularización para beneficio de mujeres rurales.</t>
  </si>
  <si>
    <t>1.59 Promover la participación de las mujeres rurales en los procesos de acceso y formalización de tierras.</t>
  </si>
  <si>
    <t>1.60 Brindar servicios de fomento y fortalecimiento asociativo a mujeres productoras rurales.</t>
  </si>
  <si>
    <t>1.61  Identificar en el servicio de fomento asociativo a mujeres étnicas productoras rurales atendidas</t>
  </si>
  <si>
    <t>1.62 Desarrollar estrategias que promuevan el acceso y permanencia de las mujeres rurales a la educación superior.</t>
  </si>
  <si>
    <t>1.63 Consolidar una base de datos con el listado de mujeres atendidas con el servicio público de extensión agropecuaria con base en el registro de usuarios en el servicio de extensión agropecuaria suministrado por la ADR.</t>
  </si>
  <si>
    <t>1.64 Vincular la participación de las productoras, en las actividades de uso y apropiación de la tecnología generada por Agrosavia.</t>
  </si>
  <si>
    <t>1.65 Beneficiar a mujeres rurales mediante la intervención de las organizaciones de pequeños y medianos productores con el  modelo de atención y prestación de servicios de apoyo a la comercialización.</t>
  </si>
  <si>
    <t>1.66  Apoyar a las mujeres rurales con la cofinanciación de Proyectos Integrales de Desarrollo Agropecuario y Rural (PIDAR).</t>
  </si>
  <si>
    <t>1.67 Operar e implementar del Fondo de Fomento para las Mujeres Rurales (FOMMUR).</t>
  </si>
  <si>
    <t>1.68 Diseñar e implementar instrumentos financieros y no financieros para emprendimientos de mujeres que atienda la línea de sostenibilidad ambiental, en las áreas de conservación, adaptación al cambio climático y bioeconomía.</t>
  </si>
  <si>
    <t>1.69 Asistir técnicamente a iniciativas productivas de las mujeres rurales u organizaciones de mujeres rurales y que cumplen con los criterios de negocios verdes y sostenibles.</t>
  </si>
  <si>
    <t>1.70 Establecer puntajes adicionales para las mujeres rurales en los mecanismos de intervención vinculados a la generación de ingresos en el Sector de Agricultura y Desarrollo Rural.</t>
  </si>
  <si>
    <t>1.71 Identificar el porcentaje de mujeres rurales beneficiadas a través de  mecanismos de intervención vinculados a la generación de ingresos en el Sector de Agricultura y Desarrollo Rural.</t>
  </si>
  <si>
    <t xml:space="preserve">1.72 Diseñar e implementar una estrategia para el fortalecimiento de las capacidades técnicas y emprendedoras que promueve el SENA, enfocada en la mujer rural. </t>
  </si>
  <si>
    <t>1.73 Incrementar el número de operaciones de créditos para el desarrollo de proyectos agropecuarios a mujeres rurales.</t>
  </si>
  <si>
    <t>1.74 Incrementar el número de operaciones de crédito con tasas subsidiadas para mujeres rurales a través de Líneas Especiales de Crédito -LEC.</t>
  </si>
  <si>
    <t>1.75 Proporcionar conocimientos y acompañamiento para beneficiar al menos a 2000 mujeres rurales anualmente en procesos de inclusión financiera y manejo de la economía y finanzas del hogar y unidad productiva, así como gestión de riesgos agropecuarios y cultura de aseguramiento.</t>
  </si>
  <si>
    <t>1.76 Favorecer el empoderamiento económico y social de las mujeres en las comunidades étnicas atendidas por el Programa IRACA, mediante la redefinición de los roles de género tradicionalmente asignados a las mujeres dentro de los proyectos de generación de excedentes agroproductivos y fortalecimiento social comunitarios.</t>
  </si>
  <si>
    <t>1.77 Implementar en los sistemas de información de la entidad SINIGAN y en al menos un modulo de SIMPLIFICA, las variables que permitan desagregar los datos de género (hombre -mujer rural: campesinas, comunidades étnicas y comunidad LBT rural) para poder generar información estadística diferenciada que contribuya a la política pública de Equidad de Género.</t>
  </si>
  <si>
    <t>1.78 Asignar subsidios familiares de vivienda para construcción de vivienda rural a mujeres cabeza de hogar previo cumplimiento de los requisitos de este, fomentando así el acceso de la población femenina a una vivienda digna.</t>
  </si>
  <si>
    <t>1.79 Asignar subsidios familiares de vivienda para mejoramiento de vivienda rural a mujeres cabeza de hogar previo cumplimiento de los requisitos de este, fomentando así el acceso de la población femenina a una vivienda digna.</t>
  </si>
  <si>
    <t>1.80 Implementar el programa de fomento a través del apoyo a iniciativas productivas en acuicultura, pesca artesanal y actividades conexas, por la Autoridad Nacional de Acuicultura y Pesca en el territorio nacional, en cumplimiento de su función misional con asociaciones u organizaciones de mujeres involucradas en acuicultura, pesca artesanal o actividades conexas.</t>
  </si>
  <si>
    <t>1.81 Divulgar la oferta institucional en territorio con orientación a mujeres rurales.</t>
  </si>
  <si>
    <t>1.82 Incrementar la colocación de crédito de inclusión financiera a mujeres rurales e incrementar las capacitaciones de educación económica y financiera dirigida a mujeres rurales.</t>
  </si>
  <si>
    <t>1.83 Realizar reuniones de socialización en el ámbito nacional (presenciales o virtuales) del portafolio FINAGRO, resaltando las condiciones preferenciales para las mujeres.</t>
  </si>
  <si>
    <t>1.84 Realizar reuniones de socialización en los municipios PDET (presenciales o virtuales) del portafolio FINAGRO, resaltando las condiciones preferenciales para las mujeres.</t>
  </si>
  <si>
    <t>1.85 Diseñar una encuesta de mujeres rurales con el servicio público de adecuación de tierras.</t>
  </si>
  <si>
    <t>1.86 Aplicar la encuesta de mujeres rurales con el servicio público de adecuación de tierras.</t>
  </si>
  <si>
    <t>1.87 Divulgar la política pública referida a mujer rural en las diferentes plataformas tecnológicas (Linkata, Siembra y BAC).</t>
  </si>
  <si>
    <t>1.88 Facilitar espacios de participación de la mujer rural en la plataforma Linkata con el fin de dar voz a sus experiencias y conocimientos en el sector agropecuario.</t>
  </si>
  <si>
    <t>1.89 Diseñar jornadas de actualización tecnológica que obedezcan a las necesidades tecnológicas de la mujer rural.</t>
  </si>
  <si>
    <t>1.90 Elaborar estudios técnicos que evidencien la situación de las mujeres rurales, las brechas de género socioeconómicas y de acceso a los activos productivos o estudios sobre su participación en los eslabones de las cadenas productivas.</t>
  </si>
  <si>
    <t>1.91 Elaborar lineamientos de política pública en favor de las mujeres rurales derivados de resultados previos de estudios técnicos del sector.</t>
  </si>
  <si>
    <t>1.92 Realizar una evaluación de los programas de educación financiera del sector agropecuario, incluyendo análisis con enfoque interseccional (género, étnico y diferencial).</t>
  </si>
  <si>
    <t>1.93 Ajustar los instrumentos de financiamiento para la profundización de las Líneas Especiales de Crédito dirigidas a la mujer rural.</t>
  </si>
  <si>
    <t>Sí, 1.16</t>
  </si>
  <si>
    <t>Sí, 1.23, 1.24, 1.25, 1.26, 1.27, 1.28, 1.29</t>
  </si>
  <si>
    <t>Sí, 1.22</t>
  </si>
  <si>
    <t>Sí, 1.22, 1.32</t>
  </si>
  <si>
    <t>Sí, 1.30</t>
  </si>
  <si>
    <t>Sí, 1.35, 1.36</t>
  </si>
  <si>
    <t>Sí, 1.34</t>
  </si>
  <si>
    <t>1.52 Remitir a servicios de oferta complementaria a mujeres beneficiarias de los programas de Prosperidad Social para su inclusión laboral y productiva y otras ofertas que aporten a la superación de la pobreza y estén relacionadas con las temáticas de educación, generación de ingresos, salud, vivienda y educación financiera.</t>
  </si>
  <si>
    <t>Sí, 1.51, 1.53, 1.54</t>
  </si>
  <si>
    <t>Sí, 1.52, 1.54</t>
  </si>
  <si>
    <t>Sí, 1.52, 1.53</t>
  </si>
  <si>
    <t xml:space="preserve">Porcentaje de avance en la institucionalizarción la estrategia #PreguntaPorÁngmediante la activación del protocolo de prevención y atención de las violencias con enfoque especial hacia las mujeres en espacios de entretenimiento, tanto a nivel nacional como territorial. </t>
  </si>
  <si>
    <t>Carolina Guzmán Ruiz</t>
  </si>
  <si>
    <t xml:space="preserve">cguzmanr@mineducacion.gov.co </t>
  </si>
  <si>
    <t>Dirección de Fomento de la Educación Superior</t>
  </si>
  <si>
    <t xml:space="preserve">4.26 Institucionalizar la estrategia #PreguntaPorÁngela mediante la activación del protocolo de prevención y atención de las violencias con enfoque especial hacia las mujeres en espacios de entretenimiento, tanto a nivel nacional como territorial. </t>
  </si>
  <si>
    <t>4.27 Institucionalizar el modelo de prevención y atención de violencias contra las mujeres en zonas rurales que hace parte de la Iniciativa Nacional para la Equidad, Emprendimiento y Seguridad de Mujeres Rurales (INES) con entidades nacionales y territoriales.</t>
  </si>
  <si>
    <t xml:space="preserve">4.28 Diseñar y articular la implementación a través del Mecanismo Articulador de las rutas intersectoriales de prevención y atención integral de violencia contra mujeres con enfoque étnico, de diversidad sexual y con discapacidad. </t>
  </si>
  <si>
    <t xml:space="preserve">4.29 Desarrollar estrategias de fortalecimiento institucional para el acceso a la justicia por parte de las mujeres rurales. </t>
  </si>
  <si>
    <t>Número de comites territoriales  de convivencia escolar en ETC certificadas que reciben asistencia técnica y que incluyen acciones de prevención de violencias basadas en género.</t>
  </si>
  <si>
    <t>Sumatoria de comites territoriales  de convivencia escolar en ETC certificadas que reciben asistencia técnica y que incluyen acciones de prevención de violencias basadas en género.</t>
  </si>
  <si>
    <t>$200</t>
  </si>
  <si>
    <t>$250</t>
  </si>
  <si>
    <t>$580</t>
  </si>
  <si>
    <t>$100</t>
  </si>
  <si>
    <t>Numero de estudiantes de instituciones de educación superior (IES) públicas beneficiadas con gratuidad en el valor de la matrícula.</t>
  </si>
  <si>
    <t xml:space="preserve">1.1 Diseñar e implementar una estrategia de promoción en los programas de fomento para el acceso y permanencia a la educación superior, que fomente la ampliación de la participación de las mujeres en programas  STEAM. </t>
  </si>
  <si>
    <t>Sí, 1.1, 1.6</t>
  </si>
  <si>
    <t>Sí, 1.1</t>
  </si>
  <si>
    <t>Sí, 1.52, 1.53, 1.54</t>
  </si>
  <si>
    <t>1.14 Aumentar el acceso con gratuidad en el valor de la matrícula para estudiantes mujeres en condiciones de vulnerabilidad socioeconómica, que cursan programas técnicos profesionales, tecnológicos y universitarios en las Instituciones de Educación Superior (IES) públicas del país.</t>
  </si>
  <si>
    <t>Sumatoria del número de estudiantes de instituciones de educación superior (IES) públicas beneficiados con gratuidad en el valor de la matrícula anualmente.</t>
  </si>
  <si>
    <t>Sumatoria del porcentaje de avance en el diseño e implementación de una ruta de acceso, uso y apropiación de las TIC por parte de las mujeres
Hito 1. Consolidación de los indicadores con base en un modulo de visualización de indicadores con información estadística sobre acceso, tenencia, uso, apropiación TIC, habilidades digitales, ciberseguridad y emprendimiento desagregado por genero=20%.
Hito 2. Elaboración de un diagnóstico de brecha digital desde un enfoque de género y mapeo de oferta=10%.
Hito 3. Definición de la ruta de acceso, uso y apropiación de las TIC por parte de las mujeres=30%.
Hito 4. Informes de seguimiento a la implementación de la ruta de acceso, uso y apropiación de las TIC por parte de las mujeres=40%.</t>
  </si>
  <si>
    <t xml:space="preserve">4.5 Brindar asistencia técnica a las Comisarías de Familia a nivel nacional para fortalecer y mejorar los servicios prestados en la atención de las violencias en el ámbito familiar, asegurando la implementación de enfoques diferenciales y la atención inclusiva. </t>
  </si>
  <si>
    <t>4.6 Desarrollar el programa para el fortalecimiento de la perspectiva de género en el sistema penitenciario y carcelario, incluyendo lineamientos de tratamiento penitenciario con enfoque de género para las mujeres privadas de la libertad.</t>
  </si>
  <si>
    <t>Sumatoria del número de municipios con estrategia implementada.
Nota: la acumulación no incluye la línea base</t>
  </si>
  <si>
    <t>4.25 Brindar asistencia técnica a las Secretarias de Educación y a los comités territoriales de convivencia escolar para la implementación del sistema unificado de convivencia escolar - SIUCE, la apropiación y uso del protocolo de abordaje pedagógico de violencias basadas en género, la prevención de situaciones de riesgo para los derechos humanos, sexuales y reproductivos y la promoción de la convivencia escolar.</t>
  </si>
  <si>
    <t>Sumatoria del porcentaje de avance en la institucionalización de la estrategia #PreguntaPorÁngela mediante la activación del protocolo de prevención y atención de las violencias con enfoque especial hacia las mujeres en espacios de entretenimiento, tanto a nivel nacional como territorial
Hito 1. Ampliar cobertura de la estrategia #PreguntaPorÁngela para implementar el protocolo de prevención y atención de las violencias con enfoque especial hacia las mujeres en espacios de entretenimiento a nivel territorial=50%.
Hito 2. Expedición de acto administrativo para  institucionalizar la estrategia #PreguntaPorÁngela mediante la implementación del protocolo para la prevención y atención de las violencias con enfoque especial hacia las mujeres en espacios de entretenimiento=50%.</t>
  </si>
  <si>
    <t>Porcentaje de avance en el diseño e implementación de una estrategia de promoción en los programas de financiamiento para el acceso a la educación superior, que fomente la ampliación de la participación de las mujeres en programas  STEAM y aquellos relacionados con áreas de alto potencial económico para el país. teniendo en cuenta las barreras culturales, geográficas y de autonomía económica.</t>
  </si>
  <si>
    <t xml:space="preserve">Sumatoria del porcentaje de avance en el diseño e implementación  de una estrategia de promoción en los programas de financiamiento para el acceso a la educación superior, que fomente la ampliación de la participación de las mujeres en programas  STEAM y aquellos relacionados con áreas de alto potencial económico para el país. teniendo en cuenta las barreras culturales, geográficas y de autonomía económica
Hito 1. Informe de implementación año 2022=5%.
Hito 2. Informe de implementación años 2023 a 2029=90% [15% cada año].
Hito 3. Informe final de implementación año 2030=5%.
</t>
  </si>
  <si>
    <t>Política Pública de Equidad de Género para las Mujeres: Hacia el Desarrollo Sostenible del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</si>
</sst>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 #,##0;\-&quot;$&quot;\ #,##0"/>
    <numFmt numFmtId="6" formatCode="&quot;$&quot;\ #,##0;[Red]\-&quot;$&quot;\ #,##0"/>
    <numFmt numFmtId="7" formatCode="&quot;$&quot;\ #,##0.00;\-&quot;$&quot;\ #,##0.0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_);[Red]\(&quot;$&quot;#,##0\)"/>
    <numFmt numFmtId="165" formatCode="&quot;$&quot;#,##0.00_);[Red]\(&quot;$&quot;#,##0.00\)"/>
    <numFmt numFmtId="166" formatCode="&quot;$&quot;#,##0.00;[Red]\-&quot;$&quot;#,##0.00"/>
    <numFmt numFmtId="167" formatCode="_-&quot;$&quot;* #,##0_-;\-&quot;$&quot;* #,##0_-;_-&quot;$&quot;* &quot;-&quot;_-;_-@_-"/>
    <numFmt numFmtId="168" formatCode="_ * #,##0.00_ ;_ * \-#,##0.00_ ;_ * &quot;-&quot;??_ ;_ @_ "/>
    <numFmt numFmtId="169" formatCode="_ * #,##0_ ;_ * \-#,##0_ ;_ * &quot;-&quot;??_ ;_ @_ "/>
    <numFmt numFmtId="170" formatCode="_-* #,##0\ &quot;Pts&quot;_-;\-* #,##0\ &quot;Pts&quot;_-;_-* &quot;-&quot;\ &quot;Pts&quot;_-;_-@_-"/>
    <numFmt numFmtId="171" formatCode="_-* #,##0\ _P_t_s_-;\-* #,##0\ _P_t_s_-;_-* &quot;-&quot;\ _P_t_s_-;_-@_-"/>
    <numFmt numFmtId="172" formatCode="#.##000"/>
    <numFmt numFmtId="173" formatCode="\$#,#00"/>
    <numFmt numFmtId="174" formatCode="#,#00"/>
    <numFmt numFmtId="175" formatCode="#.##0,"/>
    <numFmt numFmtId="176" formatCode="\$#,"/>
    <numFmt numFmtId="177" formatCode="\$#,##0.00\ ;\(\$#,##0.00\)"/>
    <numFmt numFmtId="178" formatCode="#,##0.000;\-#,##0.000"/>
    <numFmt numFmtId="179" formatCode="_ [$€-2]\ * #,##0.00_ ;_ [$€-2]\ * \-#,##0.00_ ;_ [$€-2]\ * &quot;-&quot;??_ "/>
    <numFmt numFmtId="180" formatCode="0.0%"/>
    <numFmt numFmtId="181" formatCode="%#,#00"/>
    <numFmt numFmtId="182" formatCode="&quot;$&quot;\ #,##0.0;\-&quot;$&quot;\ #,##0.0"/>
    <numFmt numFmtId="183" formatCode="_-&quot;$&quot;\ * #,##0_-;\-&quot;$&quot;\ * #,##0_-;_-&quot;$&quot;\ * &quot;-&quot;??_-;_-@_-"/>
    <numFmt numFmtId="184" formatCode="dd/mm/yyyy;@"/>
    <numFmt numFmtId="185" formatCode="&quot;$&quot;#,##0.0;[Red]\-&quot;$&quot;#,##0.0"/>
    <numFmt numFmtId="186" formatCode="#,##0.0"/>
    <numFmt numFmtId="187" formatCode="&quot;$&quot;\ #,##0"/>
    <numFmt numFmtId="188" formatCode="_-* #,##0_-;\-* #,##0_-;_-* &quot;-&quot;??_-;_-@_-"/>
    <numFmt numFmtId="189" formatCode="0.0,,"/>
    <numFmt numFmtId="190" formatCode="_-&quot;$&quot;\ * #,##0.0_-;\-&quot;$&quot;\ * #,##0.0_-;_-&quot;$&quot;\ * &quot;-&quot;??_-;_-@_-"/>
    <numFmt numFmtId="191" formatCode="&quot;$&quot;\ #,##0.0000;\-&quot;$&quot;\ #,##0.0000"/>
    <numFmt numFmtId="192" formatCode="&quot;$&quot;\ #,##0.00"/>
    <numFmt numFmtId="193" formatCode="_-&quot;$&quot;\ * #,##0.00_-;\-&quot;$&quot;\ * #,##0.00_-;_-&quot;$&quot;\ * &quot;-&quot;??_-;_-@"/>
    <numFmt numFmtId="194" formatCode="&quot;$&quot;#,##0.00;\-&quot;$&quot;#,##0.00"/>
    <numFmt numFmtId="195" formatCode="&quot;$&quot;#,##0;\-&quot;$&quot;#,##0"/>
    <numFmt numFmtId="196" formatCode="_([$$-409]* #,##0_);_([$$-409]* \(#,##0\);_([$$-409]* &quot;-&quot;??_);_(@_)"/>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8"/>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sz val="10"/>
      <name val="Arial Narrow"/>
      <family val="2"/>
    </font>
    <font>
      <b/>
      <sz val="14"/>
      <color theme="0"/>
      <name val="Arial Narrow"/>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theme="1"/>
      <name val="Arial Narrow"/>
      <family val="2"/>
    </font>
    <font>
      <sz val="10"/>
      <color theme="8"/>
      <name val="Arial"/>
      <family val="2"/>
    </font>
    <font>
      <b/>
      <vertAlign val="superscript"/>
      <sz val="11"/>
      <name val="Arial Narrow"/>
      <family val="2"/>
    </font>
    <font>
      <b/>
      <vertAlign val="superscript"/>
      <sz val="10"/>
      <name val="Arial Narrow"/>
      <family val="2"/>
    </font>
    <font>
      <sz val="12"/>
      <color theme="0"/>
      <name val="Arial Narrow"/>
      <family val="2"/>
    </font>
    <font>
      <b/>
      <sz val="10"/>
      <color theme="9"/>
      <name val="Arial"/>
      <family val="2"/>
    </font>
    <font>
      <sz val="11"/>
      <name val="Times New Roman"/>
      <family val="1"/>
    </font>
    <font>
      <sz val="10"/>
      <color theme="1"/>
      <name val="Arial"/>
      <family val="2"/>
    </font>
    <font>
      <b/>
      <sz val="10"/>
      <color theme="1"/>
      <name val="Arial"/>
      <family val="2"/>
    </font>
    <font>
      <sz val="10"/>
      <color theme="0"/>
      <name val="Arial"/>
      <family val="2"/>
    </font>
    <font>
      <sz val="14"/>
      <color theme="0"/>
      <name val="Arial Narrow"/>
      <family val="2"/>
    </font>
    <font>
      <sz val="10"/>
      <name val="Arial"/>
      <family val="2"/>
    </font>
    <font>
      <sz val="8"/>
      <name val="Arial"/>
      <family val="2"/>
    </font>
    <font>
      <u/>
      <sz val="11"/>
      <color theme="10"/>
      <name val="Calibri"/>
      <family val="2"/>
      <scheme val="minor"/>
    </font>
    <font>
      <u/>
      <sz val="10"/>
      <color theme="10"/>
      <name val="Arial"/>
      <family val="2"/>
    </font>
    <font>
      <sz val="10"/>
      <name val="Arial"/>
      <family val="2"/>
    </font>
    <font>
      <sz val="10"/>
      <name val="Arial"/>
      <family val="2"/>
    </font>
    <font>
      <sz val="11"/>
      <name val="Calibri"/>
      <family val="2"/>
      <charset val="1"/>
    </font>
    <font>
      <u/>
      <sz val="10"/>
      <color indexed="12"/>
      <name val="Arial Narrow"/>
      <family val="2"/>
    </font>
    <font>
      <sz val="10"/>
      <name val="Arial"/>
      <family val="2"/>
    </font>
    <font>
      <sz val="10"/>
      <color rgb="FF000000"/>
      <name val="Arial Narrow"/>
      <family val="2"/>
    </font>
    <font>
      <u/>
      <sz val="10"/>
      <color theme="10"/>
      <name val="Arial Narrow"/>
      <family val="2"/>
    </font>
  </fonts>
  <fills count="9">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s>
  <borders count="80">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medium">
        <color auto="1"/>
      </top>
      <bottom/>
      <diagonal/>
    </border>
    <border>
      <left/>
      <right/>
      <top/>
      <bottom style="medium">
        <color auto="1"/>
      </bottom>
      <diagonal/>
    </border>
    <border>
      <left style="medium">
        <color auto="1"/>
      </left>
      <right style="thin">
        <color auto="1"/>
      </right>
      <top style="hair">
        <color auto="1"/>
      </top>
      <bottom/>
      <diagonal/>
    </border>
    <border>
      <left style="thin">
        <color auto="1"/>
      </left>
      <right/>
      <top style="thin">
        <color theme="0" tint="-0.34998626667073579"/>
      </top>
      <bottom/>
      <diagonal/>
    </border>
    <border>
      <left/>
      <right/>
      <top style="thin">
        <color theme="0" tint="-0.34998626667073579"/>
      </top>
      <bottom/>
      <diagonal/>
    </border>
    <border>
      <left style="double">
        <color auto="1"/>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s>
  <cellStyleXfs count="118">
    <xf numFmtId="0" fontId="0" fillId="0" borderId="0"/>
    <xf numFmtId="0" fontId="9" fillId="0" borderId="0">
      <protection locked="0"/>
    </xf>
    <xf numFmtId="0" fontId="9" fillId="0" borderId="0">
      <protection locked="0"/>
    </xf>
    <xf numFmtId="171" fontId="8" fillId="0" borderId="0" applyFont="0" applyFill="0" applyBorder="0" applyAlignment="0" applyProtection="0"/>
    <xf numFmtId="0" fontId="7" fillId="0" borderId="0">
      <protection locked="0"/>
    </xf>
    <xf numFmtId="175" fontId="10" fillId="0" borderId="0">
      <protection locked="0"/>
    </xf>
    <xf numFmtId="173" fontId="10" fillId="0" borderId="0">
      <protection locked="0"/>
    </xf>
    <xf numFmtId="170" fontId="8" fillId="0" borderId="0" applyFont="0" applyFill="0" applyBorder="0" applyAlignment="0" applyProtection="0"/>
    <xf numFmtId="0" fontId="7" fillId="0" borderId="0">
      <protection locked="0"/>
    </xf>
    <xf numFmtId="176" fontId="10" fillId="0" borderId="0">
      <protection locked="0"/>
    </xf>
    <xf numFmtId="0" fontId="10" fillId="0" borderId="0">
      <protection locked="0"/>
    </xf>
    <xf numFmtId="179" fontId="7" fillId="0" borderId="0" applyFont="0" applyFill="0" applyBorder="0" applyAlignment="0" applyProtection="0"/>
    <xf numFmtId="0" fontId="10" fillId="0" borderId="0">
      <protection locked="0"/>
    </xf>
    <xf numFmtId="174" fontId="10" fillId="0" borderId="0">
      <protection locked="0"/>
    </xf>
    <xf numFmtId="174" fontId="10" fillId="0" borderId="0">
      <protection locked="0"/>
    </xf>
    <xf numFmtId="0" fontId="10" fillId="0" borderId="0">
      <protection locked="0"/>
    </xf>
    <xf numFmtId="0" fontId="9" fillId="0" borderId="0">
      <protection locked="0"/>
    </xf>
    <xf numFmtId="0" fontId="9" fillId="0" borderId="0">
      <protection locked="0"/>
    </xf>
    <xf numFmtId="0" fontId="9" fillId="0" borderId="0">
      <protection locked="0"/>
    </xf>
    <xf numFmtId="173" fontId="10" fillId="0" borderId="0">
      <protection locked="0"/>
    </xf>
    <xf numFmtId="178" fontId="7" fillId="0" borderId="0">
      <protection locked="0"/>
    </xf>
    <xf numFmtId="172" fontId="10" fillId="0" borderId="0">
      <protection locked="0"/>
    </xf>
    <xf numFmtId="5" fontId="11" fillId="0" borderId="0">
      <protection locked="0"/>
    </xf>
    <xf numFmtId="39" fontId="12" fillId="0" borderId="1" applyFill="0">
      <alignment horizontal="left"/>
    </xf>
    <xf numFmtId="0" fontId="7" fillId="0" borderId="0" applyNumberFormat="0"/>
    <xf numFmtId="0" fontId="10" fillId="0" borderId="2">
      <protection locked="0"/>
    </xf>
    <xf numFmtId="0" fontId="13" fillId="0" borderId="0" applyProtection="0"/>
    <xf numFmtId="177" fontId="13" fillId="0" borderId="0" applyProtection="0"/>
    <xf numFmtId="0" fontId="14" fillId="0" borderId="0" applyProtection="0"/>
    <xf numFmtId="0" fontId="15" fillId="0" borderId="0" applyProtection="0"/>
    <xf numFmtId="0" fontId="13" fillId="0" borderId="3" applyProtection="0"/>
    <xf numFmtId="0" fontId="13" fillId="0" borderId="0"/>
    <xf numFmtId="10" fontId="13" fillId="0" borderId="0" applyProtection="0"/>
    <xf numFmtId="0" fontId="13" fillId="0" borderId="0"/>
    <xf numFmtId="2" fontId="13" fillId="0" borderId="0" applyProtection="0"/>
    <xf numFmtId="4" fontId="13" fillId="0" borderId="0" applyProtection="0"/>
    <xf numFmtId="0" fontId="6" fillId="0" borderId="0"/>
    <xf numFmtId="0" fontId="7" fillId="0" borderId="0"/>
    <xf numFmtId="0" fontId="33" fillId="0" borderId="0" applyNumberFormat="0" applyFill="0" applyBorder="0" applyAlignment="0" applyProtection="0">
      <alignment vertical="top"/>
      <protection locked="0"/>
    </xf>
    <xf numFmtId="0" fontId="5" fillId="0" borderId="0"/>
    <xf numFmtId="9" fontId="7" fillId="0" borderId="0" applyFont="0" applyFill="0" applyBorder="0" applyAlignment="0" applyProtection="0"/>
    <xf numFmtId="0" fontId="4" fillId="0" borderId="0"/>
    <xf numFmtId="43" fontId="7" fillId="0" borderId="0" applyFont="0" applyFill="0" applyBorder="0" applyAlignment="0" applyProtection="0"/>
    <xf numFmtId="168" fontId="7" fillId="0" borderId="0" applyFont="0" applyFill="0" applyBorder="0" applyAlignment="0" applyProtection="0"/>
    <xf numFmtId="0" fontId="33" fillId="0" borderId="0" applyNumberFormat="0" applyFill="0" applyBorder="0" applyAlignment="0" applyProtection="0">
      <alignment vertical="top"/>
      <protection locked="0"/>
    </xf>
    <xf numFmtId="43" fontId="7" fillId="0" borderId="0" applyFont="0" applyFill="0" applyBorder="0" applyAlignment="0" applyProtection="0"/>
    <xf numFmtId="9" fontId="7" fillId="0" borderId="0" applyFont="0" applyFill="0" applyBorder="0" applyAlignment="0" applyProtection="0"/>
    <xf numFmtId="168" fontId="7" fillId="0" borderId="0" applyFont="0" applyFill="0" applyBorder="0" applyAlignment="0" applyProtection="0"/>
    <xf numFmtId="181" fontId="10" fillId="0" borderId="0">
      <protection locked="0"/>
    </xf>
    <xf numFmtId="43" fontId="7" fillId="0" borderId="0" applyFont="0" applyFill="0" applyBorder="0" applyAlignment="0" applyProtection="0"/>
    <xf numFmtId="168" fontId="7" fillId="0" borderId="0" applyFont="0" applyFill="0" applyBorder="0" applyAlignment="0" applyProtection="0"/>
    <xf numFmtId="172" fontId="10" fillId="0" borderId="0">
      <protection locked="0"/>
    </xf>
    <xf numFmtId="168" fontId="7"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3" fillId="0" borderId="0"/>
    <xf numFmtId="41" fontId="7" fillId="0" borderId="0" applyFont="0" applyFill="0" applyBorder="0" applyAlignment="0" applyProtection="0"/>
    <xf numFmtId="0" fontId="52" fillId="0" borderId="0" applyNumberForma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ont="0" applyFill="0" applyBorder="0" applyAlignment="0" applyProtection="0"/>
    <xf numFmtId="5" fontId="11" fillId="0" borderId="0">
      <protection locked="0"/>
    </xf>
    <xf numFmtId="39" fontId="8" fillId="0" borderId="1" applyFill="0">
      <alignment horizontal="left"/>
    </xf>
    <xf numFmtId="43" fontId="7" fillId="0" borderId="0" applyFont="0" applyFill="0" applyBorder="0" applyAlignment="0" applyProtection="0"/>
    <xf numFmtId="0" fontId="2" fillId="0" borderId="0"/>
    <xf numFmtId="0" fontId="2" fillId="0" borderId="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ont="0" applyFill="0" applyBorder="0" applyAlignment="0" applyProtection="0"/>
    <xf numFmtId="43" fontId="50" fillId="0" borderId="0" applyFont="0" applyFill="0" applyBorder="0" applyAlignment="0" applyProtection="0"/>
    <xf numFmtId="168" fontId="7" fillId="0" borderId="0" applyFont="0" applyFill="0" applyBorder="0" applyAlignment="0" applyProtection="0"/>
    <xf numFmtId="0" fontId="53" fillId="0" borderId="0" applyNumberFormat="0" applyFill="0" applyBorder="0" applyAlignment="0" applyProtection="0"/>
    <xf numFmtId="43" fontId="54" fillId="0" borderId="0" applyFont="0" applyFill="0" applyBorder="0" applyAlignment="0" applyProtection="0"/>
    <xf numFmtId="9" fontId="54" fillId="0" borderId="0" applyFont="0" applyFill="0" applyBorder="0" applyAlignment="0" applyProtection="0"/>
    <xf numFmtId="44" fontId="55" fillId="0" borderId="0" applyFont="0" applyFill="0" applyBorder="0" applyAlignment="0" applyProtection="0"/>
    <xf numFmtId="9" fontId="55" fillId="0" borderId="0" applyFont="0" applyFill="0" applyBorder="0" applyAlignment="0" applyProtection="0"/>
    <xf numFmtId="5" fontId="11" fillId="0" borderId="0">
      <protection locked="0"/>
    </xf>
    <xf numFmtId="0" fontId="1" fillId="0" borderId="0"/>
    <xf numFmtId="0" fontId="1" fillId="0" borderId="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5" fontId="11" fillId="0" borderId="0">
      <protection locked="0"/>
    </xf>
    <xf numFmtId="43" fontId="7" fillId="0" borderId="0" applyFont="0" applyFill="0" applyBorder="0" applyAlignment="0" applyProtection="0"/>
    <xf numFmtId="0" fontId="1" fillId="0" borderId="0"/>
    <xf numFmtId="0" fontId="1" fillId="0" borderId="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2" fontId="55" fillId="0" borderId="0" applyFont="0" applyFill="0" applyBorder="0" applyAlignment="0" applyProtection="0"/>
    <xf numFmtId="44" fontId="58" fillId="0" borderId="0" applyFont="0" applyFill="0" applyBorder="0" applyAlignment="0" applyProtection="0"/>
    <xf numFmtId="43" fontId="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7" fillId="0" borderId="0" applyFont="0" applyFill="0" applyBorder="0" applyAlignment="0" applyProtection="0"/>
  </cellStyleXfs>
  <cellXfs count="590">
    <xf numFmtId="0" fontId="0" fillId="0" borderId="0" xfId="0"/>
    <xf numFmtId="0" fontId="22" fillId="0" borderId="0" xfId="0" applyFont="1"/>
    <xf numFmtId="0" fontId="25" fillId="3" borderId="14" xfId="0" applyFont="1" applyFill="1" applyBorder="1" applyAlignment="1">
      <alignment horizontal="center" vertical="center"/>
    </xf>
    <xf numFmtId="0" fontId="19" fillId="3" borderId="13" xfId="0" applyFont="1" applyFill="1" applyBorder="1" applyAlignment="1">
      <alignment horizontal="center" vertical="center"/>
    </xf>
    <xf numFmtId="0" fontId="26" fillId="0" borderId="22" xfId="0" applyFont="1" applyBorder="1" applyAlignment="1">
      <alignment vertical="center" wrapText="1"/>
    </xf>
    <xf numFmtId="0" fontId="0" fillId="0" borderId="24"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7" fillId="0" borderId="4" xfId="0" applyFont="1" applyBorder="1" applyAlignment="1">
      <alignment vertical="center" wrapText="1"/>
    </xf>
    <xf numFmtId="0" fontId="0" fillId="0" borderId="25" xfId="0" applyBorder="1" applyAlignment="1">
      <alignment vertical="center" wrapText="1"/>
    </xf>
    <xf numFmtId="0" fontId="0" fillId="0" borderId="4" xfId="0" applyBorder="1"/>
    <xf numFmtId="0" fontId="0" fillId="0" borderId="25" xfId="0" applyBorder="1"/>
    <xf numFmtId="0" fontId="27" fillId="0" borderId="4" xfId="0" applyFont="1" applyBorder="1" applyAlignment="1">
      <alignment horizontal="left" vertical="center"/>
    </xf>
    <xf numFmtId="0" fontId="0" fillId="0" borderId="15" xfId="0" applyBorder="1" applyAlignment="1">
      <alignment vertical="center" wrapText="1"/>
    </xf>
    <xf numFmtId="0" fontId="0" fillId="0" borderId="15" xfId="0" applyBorder="1"/>
    <xf numFmtId="0" fontId="0" fillId="0" borderId="27" xfId="0" applyBorder="1"/>
    <xf numFmtId="0" fontId="16" fillId="5" borderId="0" xfId="0" applyFont="1" applyFill="1" applyAlignment="1">
      <alignment vertical="center"/>
    </xf>
    <xf numFmtId="9" fontId="16" fillId="5" borderId="0" xfId="0" applyNumberFormat="1" applyFont="1" applyFill="1" applyAlignment="1">
      <alignment vertical="center"/>
    </xf>
    <xf numFmtId="3" fontId="16" fillId="5" borderId="0" xfId="0" applyNumberFormat="1" applyFont="1" applyFill="1" applyAlignment="1">
      <alignment vertical="center"/>
    </xf>
    <xf numFmtId="0" fontId="16" fillId="0" borderId="0" xfId="0" applyFont="1" applyAlignment="1">
      <alignment vertical="center"/>
    </xf>
    <xf numFmtId="9" fontId="16" fillId="0" borderId="0" xfId="0" applyNumberFormat="1" applyFont="1" applyAlignment="1">
      <alignment vertical="center"/>
    </xf>
    <xf numFmtId="3" fontId="16" fillId="0" borderId="0" xfId="0" applyNumberFormat="1" applyFont="1" applyAlignment="1">
      <alignment vertical="center"/>
    </xf>
    <xf numFmtId="0" fontId="7" fillId="0" borderId="0" xfId="0" applyFont="1"/>
    <xf numFmtId="3" fontId="30" fillId="0" borderId="4" xfId="80" applyNumberFormat="1" applyFont="1" applyFill="1" applyBorder="1" applyAlignment="1" applyProtection="1">
      <alignment horizontal="center" vertical="center" wrapText="1"/>
      <protection locked="0"/>
    </xf>
    <xf numFmtId="0" fontId="18" fillId="0" borderId="39" xfId="0" applyFont="1" applyBorder="1" applyAlignment="1" applyProtection="1">
      <alignment vertical="center" wrapText="1"/>
      <protection locked="0"/>
    </xf>
    <xf numFmtId="0" fontId="19" fillId="3" borderId="34" xfId="0" applyFont="1" applyFill="1" applyBorder="1" applyAlignment="1">
      <alignment horizontal="center" vertical="center"/>
    </xf>
    <xf numFmtId="0" fontId="30" fillId="0" borderId="32" xfId="0" applyFont="1" applyBorder="1" applyAlignment="1" applyProtection="1">
      <alignment horizontal="left" vertical="top" wrapText="1"/>
      <protection locked="0"/>
    </xf>
    <xf numFmtId="0" fontId="30" fillId="0" borderId="46" xfId="0" applyFont="1" applyBorder="1" applyAlignment="1" applyProtection="1">
      <alignment horizontal="left" vertical="top" wrapText="1"/>
      <protection locked="0"/>
    </xf>
    <xf numFmtId="0" fontId="30" fillId="0" borderId="47" xfId="0" applyFont="1" applyBorder="1" applyAlignment="1" applyProtection="1">
      <alignment horizontal="left" vertical="top" wrapText="1"/>
      <protection locked="0"/>
    </xf>
    <xf numFmtId="0" fontId="30" fillId="0" borderId="48" xfId="0" applyFont="1" applyBorder="1" applyAlignment="1" applyProtection="1">
      <alignment horizontal="left" vertical="top" wrapText="1"/>
      <protection locked="0"/>
    </xf>
    <xf numFmtId="0" fontId="30" fillId="0" borderId="49" xfId="0" applyFont="1" applyBorder="1" applyAlignment="1" applyProtection="1">
      <alignment horizontal="left" vertical="top" wrapText="1"/>
      <protection locked="0"/>
    </xf>
    <xf numFmtId="0" fontId="30" fillId="0" borderId="50" xfId="0" applyFont="1" applyBorder="1" applyAlignment="1" applyProtection="1">
      <alignment horizontal="left" vertical="top" wrapText="1"/>
      <protection locked="0"/>
    </xf>
    <xf numFmtId="0" fontId="19" fillId="3" borderId="33" xfId="0" applyFont="1" applyFill="1" applyBorder="1" applyAlignment="1">
      <alignment horizontal="left" vertical="center"/>
    </xf>
    <xf numFmtId="0" fontId="19" fillId="3" borderId="43" xfId="0" applyFont="1" applyFill="1" applyBorder="1" applyAlignment="1">
      <alignment vertical="center" wrapText="1"/>
    </xf>
    <xf numFmtId="0" fontId="19" fillId="3" borderId="44" xfId="0" applyFont="1" applyFill="1" applyBorder="1" applyAlignment="1">
      <alignment vertical="center" wrapText="1"/>
    </xf>
    <xf numFmtId="0" fontId="19" fillId="3" borderId="43" xfId="0" applyFont="1" applyFill="1" applyBorder="1" applyAlignment="1">
      <alignment vertical="center"/>
    </xf>
    <xf numFmtId="0" fontId="19" fillId="3" borderId="44" xfId="0" applyFont="1" applyFill="1" applyBorder="1" applyAlignment="1">
      <alignment vertical="center"/>
    </xf>
    <xf numFmtId="1" fontId="20" fillId="0" borderId="39" xfId="0" applyNumberFormat="1" applyFont="1" applyBorder="1" applyAlignment="1" applyProtection="1">
      <alignment vertical="center"/>
      <protection locked="0"/>
    </xf>
    <xf numFmtId="0" fontId="20" fillId="2" borderId="20" xfId="0" applyFont="1" applyFill="1" applyBorder="1" applyAlignment="1" applyProtection="1">
      <alignment vertical="center" wrapText="1"/>
      <protection locked="0"/>
    </xf>
    <xf numFmtId="0" fontId="21" fillId="3" borderId="43" xfId="0" applyFont="1" applyFill="1" applyBorder="1" applyAlignment="1">
      <alignment vertical="center"/>
    </xf>
    <xf numFmtId="0" fontId="21" fillId="3" borderId="44" xfId="0" applyFont="1" applyFill="1" applyBorder="1" applyAlignment="1">
      <alignment vertical="center"/>
    </xf>
    <xf numFmtId="0" fontId="30" fillId="0" borderId="1" xfId="0" applyFont="1" applyBorder="1" applyAlignment="1" applyProtection="1">
      <alignment horizontal="left" vertical="top"/>
      <protection locked="0"/>
    </xf>
    <xf numFmtId="0" fontId="30" fillId="0" borderId="30" xfId="0" applyFont="1" applyBorder="1" applyAlignment="1" applyProtection="1">
      <alignment horizontal="left" vertical="top" wrapText="1"/>
      <protection locked="0"/>
    </xf>
    <xf numFmtId="0" fontId="30" fillId="0" borderId="28" xfId="0" applyFont="1" applyBorder="1" applyAlignment="1" applyProtection="1">
      <alignment horizontal="left" vertical="top"/>
      <protection locked="0"/>
    </xf>
    <xf numFmtId="0" fontId="30" fillId="0" borderId="0" xfId="0" applyFont="1" applyAlignment="1" applyProtection="1">
      <alignment horizontal="left" vertical="top" wrapText="1"/>
      <protection locked="0"/>
    </xf>
    <xf numFmtId="9" fontId="30" fillId="0" borderId="4" xfId="81" applyFont="1" applyFill="1" applyBorder="1" applyAlignment="1" applyProtection="1">
      <alignment horizontal="center" vertical="center" wrapText="1"/>
      <protection locked="0"/>
    </xf>
    <xf numFmtId="0" fontId="20" fillId="0" borderId="35" xfId="0" applyFont="1" applyBorder="1" applyAlignment="1" applyProtection="1">
      <alignment vertical="center"/>
      <protection locked="0"/>
    </xf>
    <xf numFmtId="0" fontId="16" fillId="5" borderId="51" xfId="0" applyFont="1" applyFill="1" applyBorder="1" applyAlignment="1">
      <alignment vertical="center"/>
    </xf>
    <xf numFmtId="0" fontId="17" fillId="0" borderId="42" xfId="0" applyFont="1" applyBorder="1" applyAlignment="1">
      <alignment vertical="center"/>
    </xf>
    <xf numFmtId="0" fontId="16" fillId="0" borderId="37" xfId="0" applyFont="1" applyBorder="1" applyAlignment="1">
      <alignment vertical="center"/>
    </xf>
    <xf numFmtId="0" fontId="17" fillId="0" borderId="37" xfId="0" applyFont="1" applyBorder="1" applyAlignment="1">
      <alignment vertical="center"/>
    </xf>
    <xf numFmtId="0" fontId="17" fillId="0" borderId="20" xfId="0" applyFont="1" applyBorder="1" applyAlignment="1">
      <alignment vertical="center"/>
    </xf>
    <xf numFmtId="0" fontId="18" fillId="0" borderId="38" xfId="0" applyFont="1" applyBorder="1" applyAlignment="1" applyProtection="1">
      <alignment vertical="center"/>
      <protection locked="0"/>
    </xf>
    <xf numFmtId="2" fontId="30" fillId="0" borderId="4" xfId="80" applyNumberFormat="1" applyFont="1" applyFill="1" applyBorder="1" applyAlignment="1" applyProtection="1">
      <alignment horizontal="center" vertical="center" wrapText="1"/>
      <protection locked="0"/>
    </xf>
    <xf numFmtId="0" fontId="17" fillId="4" borderId="23" xfId="0" applyFont="1" applyFill="1" applyBorder="1" applyAlignment="1">
      <alignment horizontal="centerContinuous" vertical="center"/>
    </xf>
    <xf numFmtId="3" fontId="17" fillId="4" borderId="23" xfId="0" applyNumberFormat="1" applyFont="1" applyFill="1" applyBorder="1" applyAlignment="1">
      <alignment horizontal="centerContinuous" vertical="center"/>
    </xf>
    <xf numFmtId="0" fontId="35" fillId="5" borderId="0" xfId="38" applyFont="1" applyFill="1" applyBorder="1" applyAlignment="1" applyProtection="1">
      <alignment horizontal="right" vertical="center" wrapText="1"/>
    </xf>
    <xf numFmtId="0" fontId="35" fillId="5" borderId="0" xfId="38" applyFont="1" applyFill="1" applyBorder="1" applyAlignment="1" applyProtection="1">
      <alignment horizontal="right" vertical="center"/>
    </xf>
    <xf numFmtId="0" fontId="36" fillId="5" borderId="0" xfId="36" applyFont="1" applyFill="1" applyAlignment="1">
      <alignment horizontal="center"/>
    </xf>
    <xf numFmtId="0" fontId="35" fillId="5" borderId="0" xfId="37" applyFont="1" applyFill="1" applyAlignment="1">
      <alignment horizontal="right" vertical="center" wrapText="1"/>
    </xf>
    <xf numFmtId="0" fontId="36" fillId="5" borderId="0" xfId="36" applyFont="1" applyFill="1" applyAlignment="1">
      <alignment horizontal="centerContinuous"/>
    </xf>
    <xf numFmtId="0" fontId="35" fillId="5" borderId="0" xfId="37" applyFont="1" applyFill="1" applyAlignment="1">
      <alignment horizontal="centerContinuous" vertical="center" wrapText="1"/>
    </xf>
    <xf numFmtId="0" fontId="6" fillId="0" borderId="0" xfId="36"/>
    <xf numFmtId="0" fontId="20" fillId="0" borderId="20" xfId="0" applyFont="1" applyBorder="1" applyAlignment="1" applyProtection="1">
      <alignment horizontal="center" vertical="center" wrapText="1"/>
      <protection locked="0"/>
    </xf>
    <xf numFmtId="14" fontId="20" fillId="0" borderId="20" xfId="0" applyNumberFormat="1" applyFont="1" applyBorder="1" applyAlignment="1" applyProtection="1">
      <alignment vertical="center" wrapText="1"/>
      <protection locked="0"/>
    </xf>
    <xf numFmtId="1" fontId="20" fillId="0" borderId="20" xfId="0" applyNumberFormat="1" applyFont="1" applyBorder="1" applyAlignment="1" applyProtection="1">
      <alignment vertical="center"/>
      <protection locked="0"/>
    </xf>
    <xf numFmtId="1" fontId="20" fillId="0" borderId="9" xfId="0" applyNumberFormat="1" applyFont="1" applyBorder="1" applyAlignment="1" applyProtection="1">
      <alignment vertical="center"/>
      <protection locked="0"/>
    </xf>
    <xf numFmtId="0" fontId="20" fillId="0" borderId="9" xfId="0" applyFont="1" applyBorder="1" applyAlignment="1" applyProtection="1">
      <alignment vertical="center" wrapText="1"/>
      <protection locked="0"/>
    </xf>
    <xf numFmtId="0" fontId="17" fillId="2" borderId="20" xfId="0" applyFont="1" applyFill="1" applyBorder="1" applyAlignment="1">
      <alignment vertical="center"/>
    </xf>
    <xf numFmtId="0" fontId="17" fillId="2" borderId="20" xfId="0" applyFont="1" applyFill="1" applyBorder="1" applyAlignment="1">
      <alignment vertical="center" wrapText="1"/>
    </xf>
    <xf numFmtId="0" fontId="17" fillId="2" borderId="5" xfId="0" applyFont="1" applyFill="1" applyBorder="1" applyAlignment="1">
      <alignment vertical="center"/>
    </xf>
    <xf numFmtId="0" fontId="17" fillId="0" borderId="29" xfId="0" applyFont="1" applyBorder="1" applyAlignment="1">
      <alignment vertical="center"/>
    </xf>
    <xf numFmtId="0" fontId="17" fillId="0" borderId="6" xfId="0" applyFont="1" applyBorder="1" applyAlignment="1">
      <alignment vertical="center"/>
    </xf>
    <xf numFmtId="0" fontId="17" fillId="0" borderId="38" xfId="0" applyFont="1" applyBorder="1" applyAlignment="1">
      <alignment vertical="center"/>
    </xf>
    <xf numFmtId="0" fontId="17" fillId="0" borderId="39" xfId="0" applyFont="1" applyBorder="1" applyAlignment="1">
      <alignment vertical="center"/>
    </xf>
    <xf numFmtId="0" fontId="17" fillId="0" borderId="5" xfId="0" applyFont="1" applyBorder="1" applyAlignment="1">
      <alignment vertical="center"/>
    </xf>
    <xf numFmtId="0" fontId="35" fillId="5" borderId="0" xfId="38" applyFont="1" applyFill="1" applyBorder="1" applyAlignment="1" applyProtection="1">
      <alignment vertical="center" wrapText="1"/>
    </xf>
    <xf numFmtId="0" fontId="37" fillId="5" borderId="0" xfId="38" applyFont="1" applyFill="1" applyBorder="1" applyAlignment="1" applyProtection="1">
      <alignment vertical="center" wrapText="1"/>
    </xf>
    <xf numFmtId="0" fontId="36" fillId="5" borderId="0" xfId="36" applyFont="1" applyFill="1"/>
    <xf numFmtId="0" fontId="7" fillId="0" borderId="56" xfId="0" applyFont="1" applyBorder="1" applyAlignment="1">
      <alignment vertical="center" wrapText="1"/>
    </xf>
    <xf numFmtId="0" fontId="7" fillId="0" borderId="58" xfId="0" applyFont="1" applyBorder="1" applyAlignment="1">
      <alignment vertical="center" wrapText="1"/>
    </xf>
    <xf numFmtId="0" fontId="7" fillId="0" borderId="58" xfId="0" applyFont="1" applyBorder="1" applyAlignment="1">
      <alignment horizontal="justify" vertical="center" wrapText="1"/>
    </xf>
    <xf numFmtId="0" fontId="25" fillId="3" borderId="4" xfId="0" applyFont="1" applyFill="1" applyBorder="1" applyAlignment="1">
      <alignment horizontal="center" vertical="center"/>
    </xf>
    <xf numFmtId="0" fontId="19" fillId="3" borderId="4" xfId="0" applyFont="1" applyFill="1" applyBorder="1" applyAlignment="1">
      <alignment horizontal="center" vertical="center"/>
    </xf>
    <xf numFmtId="0" fontId="7" fillId="0" borderId="4" xfId="0" applyFont="1" applyBorder="1" applyAlignment="1">
      <alignment vertical="center" wrapText="1"/>
    </xf>
    <xf numFmtId="0" fontId="7" fillId="0" borderId="4" xfId="0" applyFont="1" applyBorder="1" applyAlignment="1">
      <alignment horizontal="justify" vertical="center" wrapText="1"/>
    </xf>
    <xf numFmtId="0" fontId="18" fillId="4" borderId="7" xfId="0" applyFont="1" applyFill="1" applyBorder="1" applyAlignment="1" applyProtection="1">
      <alignment horizontal="center" vertical="center" wrapText="1"/>
      <protection locked="0"/>
    </xf>
    <xf numFmtId="0" fontId="17" fillId="4" borderId="23" xfId="0" applyFont="1" applyFill="1" applyBorder="1" applyAlignment="1" applyProtection="1">
      <alignment horizontal="centerContinuous" vertical="center"/>
      <protection locked="0"/>
    </xf>
    <xf numFmtId="0" fontId="17" fillId="4" borderId="35" xfId="0" applyFont="1" applyFill="1" applyBorder="1" applyAlignment="1">
      <alignment horizontal="centerContinuous" vertical="justify"/>
    </xf>
    <xf numFmtId="0" fontId="17" fillId="4" borderId="36" xfId="0" applyFont="1" applyFill="1" applyBorder="1" applyAlignment="1">
      <alignment horizontal="centerContinuous" vertical="justify"/>
    </xf>
    <xf numFmtId="0" fontId="18" fillId="4" borderId="4" xfId="0" applyFont="1" applyFill="1" applyBorder="1" applyAlignment="1">
      <alignment horizontal="centerContinuous" vertical="center"/>
    </xf>
    <xf numFmtId="0" fontId="18" fillId="4" borderId="4" xfId="0" applyFont="1" applyFill="1" applyBorder="1" applyAlignment="1" applyProtection="1">
      <alignment horizontal="centerContinuous" vertical="center"/>
      <protection locked="0"/>
    </xf>
    <xf numFmtId="0" fontId="18" fillId="4" borderId="4" xfId="0" applyFont="1" applyFill="1" applyBorder="1" applyAlignment="1">
      <alignment horizontal="center" vertical="center"/>
    </xf>
    <xf numFmtId="3" fontId="17" fillId="4" borderId="23" xfId="0" applyNumberFormat="1" applyFont="1" applyFill="1" applyBorder="1" applyAlignment="1">
      <alignment horizontal="centerContinuous" vertical="center" wrapText="1"/>
    </xf>
    <xf numFmtId="0" fontId="19" fillId="3" borderId="34" xfId="0" applyFont="1" applyFill="1" applyBorder="1" applyAlignment="1">
      <alignment vertical="center" wrapText="1"/>
    </xf>
    <xf numFmtId="0" fontId="17" fillId="4" borderId="23" xfId="0" applyFont="1" applyFill="1" applyBorder="1" applyAlignment="1" applyProtection="1">
      <alignment horizontal="centerContinuous" vertical="center" wrapText="1"/>
      <protection locked="0"/>
    </xf>
    <xf numFmtId="0" fontId="17" fillId="4" borderId="4" xfId="0" applyFont="1" applyFill="1" applyBorder="1" applyAlignment="1">
      <alignment horizontal="centerContinuous" vertical="top" wrapText="1"/>
    </xf>
    <xf numFmtId="5" fontId="30" fillId="0" borderId="4" xfId="80" applyNumberFormat="1" applyFont="1" applyFill="1" applyBorder="1" applyAlignment="1" applyProtection="1">
      <alignment horizontal="center" vertical="center" wrapText="1"/>
      <protection locked="0"/>
    </xf>
    <xf numFmtId="0" fontId="35" fillId="5" borderId="0" xfId="37" applyFont="1" applyFill="1" applyAlignment="1">
      <alignment horizontal="left" vertical="center" wrapText="1"/>
    </xf>
    <xf numFmtId="0" fontId="35" fillId="5" borderId="0" xfId="37" applyFont="1" applyFill="1" applyAlignment="1">
      <alignment horizontal="center" vertical="center" wrapText="1"/>
    </xf>
    <xf numFmtId="0" fontId="22" fillId="6" borderId="4" xfId="0" applyFont="1" applyFill="1" applyBorder="1" applyAlignment="1">
      <alignment horizontal="center" vertical="center"/>
    </xf>
    <xf numFmtId="0" fontId="32" fillId="0" borderId="0" xfId="37" applyFont="1" applyAlignment="1">
      <alignment horizontal="left" vertical="center" wrapText="1"/>
    </xf>
    <xf numFmtId="0" fontId="35" fillId="5" borderId="0" xfId="38" applyFont="1" applyFill="1" applyBorder="1" applyAlignment="1" applyProtection="1">
      <alignment horizontal="center" vertical="center" wrapText="1"/>
    </xf>
    <xf numFmtId="0" fontId="34" fillId="5" borderId="0" xfId="37" applyFont="1" applyFill="1" applyAlignment="1">
      <alignment horizontal="left" vertical="center" wrapText="1"/>
    </xf>
    <xf numFmtId="0" fontId="35" fillId="5" borderId="0" xfId="37" applyFont="1" applyFill="1" applyAlignment="1">
      <alignment vertical="center" wrapText="1"/>
    </xf>
    <xf numFmtId="1" fontId="30" fillId="0" borderId="4" xfId="8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45" fillId="0" borderId="0" xfId="0" applyFont="1" applyAlignment="1">
      <alignment vertical="center"/>
    </xf>
    <xf numFmtId="0" fontId="26" fillId="0" borderId="4" xfId="0" applyFont="1" applyBorder="1" applyAlignment="1">
      <alignment vertical="center" wrapText="1"/>
    </xf>
    <xf numFmtId="180" fontId="30" fillId="0" borderId="4" xfId="81" applyNumberFormat="1" applyFont="1" applyFill="1" applyBorder="1" applyAlignment="1" applyProtection="1">
      <alignment horizontal="center" vertical="center" wrapText="1"/>
      <protection locked="0"/>
    </xf>
    <xf numFmtId="0" fontId="18" fillId="0" borderId="60" xfId="0" applyFont="1" applyBorder="1" applyAlignment="1" applyProtection="1">
      <alignment vertical="center" wrapText="1"/>
      <protection locked="0"/>
    </xf>
    <xf numFmtId="0" fontId="43" fillId="3" borderId="33" xfId="0" applyFont="1" applyFill="1" applyBorder="1" applyAlignment="1">
      <alignment horizontal="center" vertical="center"/>
    </xf>
    <xf numFmtId="169" fontId="18" fillId="0" borderId="5" xfId="80" applyNumberFormat="1" applyFont="1" applyFill="1" applyBorder="1" applyAlignment="1" applyProtection="1">
      <alignment horizontal="center" vertical="center" wrapText="1"/>
      <protection locked="0"/>
    </xf>
    <xf numFmtId="0" fontId="18" fillId="0" borderId="29" xfId="0" applyFont="1" applyBorder="1" applyAlignment="1">
      <alignment horizontal="center" vertical="center" wrapText="1"/>
    </xf>
    <xf numFmtId="0" fontId="39" fillId="0" borderId="28" xfId="0" applyFont="1" applyBorder="1" applyAlignment="1" applyProtection="1">
      <alignment horizontal="left" vertical="top"/>
      <protection locked="0"/>
    </xf>
    <xf numFmtId="0" fontId="46" fillId="0" borderId="4" xfId="0" applyFont="1" applyBorder="1" applyAlignment="1">
      <alignment vertical="center" wrapText="1"/>
    </xf>
    <xf numFmtId="0" fontId="30" fillId="0" borderId="62" xfId="0" applyFont="1" applyBorder="1" applyAlignment="1" applyProtection="1">
      <alignment horizontal="left" vertical="top" wrapText="1"/>
      <protection locked="0"/>
    </xf>
    <xf numFmtId="0" fontId="30" fillId="0" borderId="63" xfId="0" applyFont="1" applyBorder="1" applyAlignment="1" applyProtection="1">
      <alignment horizontal="left" vertical="top" wrapText="1"/>
      <protection locked="0"/>
    </xf>
    <xf numFmtId="0" fontId="7" fillId="0" borderId="7" xfId="0" applyFont="1" applyBorder="1" applyAlignment="1">
      <alignment vertical="center" wrapText="1"/>
    </xf>
    <xf numFmtId="0" fontId="7" fillId="0" borderId="8" xfId="0" applyFont="1" applyBorder="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center" vertical="center"/>
    </xf>
    <xf numFmtId="0" fontId="30" fillId="0" borderId="0" xfId="0" applyFont="1" applyAlignment="1">
      <alignment vertical="center"/>
    </xf>
    <xf numFmtId="0" fontId="30" fillId="0" borderId="4" xfId="0" applyFont="1" applyBorder="1" applyAlignment="1">
      <alignment horizontal="left" vertical="center" wrapText="1"/>
    </xf>
    <xf numFmtId="9" fontId="30" fillId="0" borderId="24" xfId="0" applyNumberFormat="1" applyFont="1" applyBorder="1" applyAlignment="1">
      <alignment horizontal="left" vertical="center" wrapText="1"/>
    </xf>
    <xf numFmtId="0" fontId="30" fillId="0" borderId="4" xfId="0" applyFont="1" applyBorder="1" applyAlignment="1">
      <alignment horizontal="center" vertical="center"/>
    </xf>
    <xf numFmtId="9" fontId="30" fillId="0" borderId="4" xfId="40" applyFont="1" applyFill="1" applyBorder="1" applyAlignment="1" applyProtection="1">
      <alignment horizontal="center" vertical="center"/>
    </xf>
    <xf numFmtId="14" fontId="30" fillId="7" borderId="4" xfId="0" applyNumberFormat="1"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7" borderId="4" xfId="0" applyFont="1" applyFill="1" applyBorder="1" applyAlignment="1">
      <alignment horizontal="center" vertical="center"/>
    </xf>
    <xf numFmtId="9" fontId="30" fillId="0" borderId="4" xfId="0" applyNumberFormat="1" applyFont="1" applyBorder="1" applyAlignment="1">
      <alignment horizontal="center" vertical="center"/>
    </xf>
    <xf numFmtId="9" fontId="30" fillId="5" borderId="4" xfId="0" applyNumberFormat="1" applyFont="1" applyFill="1" applyBorder="1" applyAlignment="1">
      <alignment horizontal="left" vertical="center" wrapText="1"/>
    </xf>
    <xf numFmtId="0" fontId="30" fillId="0" borderId="24" xfId="0" applyFont="1" applyBorder="1" applyAlignment="1">
      <alignment vertical="center" wrapText="1"/>
    </xf>
    <xf numFmtId="10" fontId="30" fillId="0" borderId="4" xfId="0" applyNumberFormat="1" applyFont="1" applyBorder="1" applyAlignment="1">
      <alignment horizontal="center" vertical="center" wrapText="1"/>
    </xf>
    <xf numFmtId="0" fontId="30" fillId="0" borderId="4" xfId="0" applyFont="1" applyBorder="1" applyAlignment="1">
      <alignment horizontal="center" vertical="center" wrapText="1"/>
    </xf>
    <xf numFmtId="0" fontId="20" fillId="0" borderId="0" xfId="0" applyFont="1" applyAlignment="1">
      <alignment horizontal="center" vertical="center"/>
    </xf>
    <xf numFmtId="0" fontId="16" fillId="5" borderId="0" xfId="0" applyFont="1" applyFill="1" applyAlignment="1">
      <alignment horizontal="left" vertical="center" wrapText="1"/>
    </xf>
    <xf numFmtId="0" fontId="16" fillId="5" borderId="0" xfId="0" applyFont="1" applyFill="1" applyAlignment="1">
      <alignment horizontal="left" vertical="center"/>
    </xf>
    <xf numFmtId="0" fontId="16" fillId="5" borderId="0" xfId="0" applyFont="1" applyFill="1" applyAlignment="1">
      <alignment horizontal="center" vertical="center"/>
    </xf>
    <xf numFmtId="0" fontId="16" fillId="0" borderId="4" xfId="0" applyFont="1" applyBorder="1" applyAlignment="1">
      <alignment vertical="center"/>
    </xf>
    <xf numFmtId="0" fontId="30" fillId="0" borderId="4" xfId="0" applyFont="1" applyBorder="1" applyAlignment="1">
      <alignment vertical="center"/>
    </xf>
    <xf numFmtId="0" fontId="21" fillId="3" borderId="33" xfId="0" applyFont="1" applyFill="1" applyBorder="1" applyAlignment="1">
      <alignment vertical="center"/>
    </xf>
    <xf numFmtId="0" fontId="49" fillId="3" borderId="34" xfId="0" applyFont="1" applyFill="1" applyBorder="1" applyAlignment="1">
      <alignment horizontal="left" vertical="center"/>
    </xf>
    <xf numFmtId="0" fontId="31" fillId="3" borderId="34" xfId="0" applyFont="1" applyFill="1" applyBorder="1" applyAlignment="1">
      <alignment horizontal="right" vertical="center"/>
    </xf>
    <xf numFmtId="0" fontId="21" fillId="3" borderId="34" xfId="0" applyFont="1" applyFill="1" applyBorder="1" applyAlignment="1">
      <alignment vertical="center"/>
    </xf>
    <xf numFmtId="0" fontId="21" fillId="3" borderId="34" xfId="0" applyFont="1" applyFill="1" applyBorder="1" applyAlignment="1">
      <alignment horizontal="center" vertical="center"/>
    </xf>
    <xf numFmtId="0" fontId="21" fillId="3" borderId="34" xfId="0" applyFont="1" applyFill="1" applyBorder="1" applyAlignment="1">
      <alignment horizontal="left" vertical="center"/>
    </xf>
    <xf numFmtId="0" fontId="21" fillId="3" borderId="34" xfId="0" applyFont="1" applyFill="1" applyBorder="1" applyAlignment="1">
      <alignment horizontal="left" vertical="center" wrapText="1"/>
    </xf>
    <xf numFmtId="0" fontId="17" fillId="4" borderId="4" xfId="0" applyFont="1" applyFill="1" applyBorder="1" applyAlignment="1">
      <alignment horizontal="center" vertical="center" wrapText="1"/>
    </xf>
    <xf numFmtId="9" fontId="17" fillId="4" borderId="4" xfId="0" applyNumberFormat="1" applyFont="1" applyFill="1" applyBorder="1" applyAlignment="1">
      <alignment horizontal="center" vertical="center" wrapText="1"/>
    </xf>
    <xf numFmtId="0" fontId="17" fillId="4" borderId="4" xfId="0" applyFont="1" applyFill="1" applyBorder="1" applyAlignment="1">
      <alignment horizontal="center" vertical="center"/>
    </xf>
    <xf numFmtId="0" fontId="17" fillId="4" borderId="4" xfId="0" applyFont="1" applyFill="1" applyBorder="1" applyAlignment="1">
      <alignment horizontal="centerContinuous" vertical="center"/>
    </xf>
    <xf numFmtId="0" fontId="17" fillId="4" borderId="4" xfId="0" applyFont="1" applyFill="1" applyBorder="1" applyAlignment="1">
      <alignment horizontal="centerContinuous" vertical="center" wrapText="1"/>
    </xf>
    <xf numFmtId="10" fontId="30" fillId="0" borderId="4" xfId="81" applyNumberFormat="1" applyFont="1" applyFill="1" applyBorder="1" applyAlignment="1">
      <alignment horizontal="center" vertical="center"/>
    </xf>
    <xf numFmtId="14" fontId="30" fillId="0" borderId="4" xfId="0" applyNumberFormat="1" applyFont="1" applyBorder="1" applyAlignment="1">
      <alignment horizontal="center" vertical="center" wrapText="1"/>
    </xf>
    <xf numFmtId="9" fontId="30" fillId="0" borderId="4" xfId="81" applyFont="1" applyFill="1" applyBorder="1" applyAlignment="1">
      <alignment horizontal="center" vertical="center"/>
    </xf>
    <xf numFmtId="0" fontId="19" fillId="3" borderId="23" xfId="0" applyFont="1" applyFill="1" applyBorder="1" applyAlignment="1">
      <alignment horizontal="center" vertical="center" wrapText="1"/>
    </xf>
    <xf numFmtId="0" fontId="18" fillId="3" borderId="26" xfId="0" applyFont="1" applyFill="1" applyBorder="1" applyAlignment="1" applyProtection="1">
      <alignment vertical="center"/>
      <protection locked="0"/>
    </xf>
    <xf numFmtId="0" fontId="30" fillId="3" borderId="15" xfId="0" applyFont="1" applyFill="1" applyBorder="1" applyAlignment="1" applyProtection="1">
      <alignment horizontal="left" vertical="center" wrapText="1"/>
      <protection locked="0"/>
    </xf>
    <xf numFmtId="0" fontId="18" fillId="3" borderId="15" xfId="0" applyFont="1" applyFill="1" applyBorder="1" applyAlignment="1" applyProtection="1">
      <alignment horizontal="center" vertical="center" wrapText="1"/>
      <protection locked="0"/>
    </xf>
    <xf numFmtId="0" fontId="18" fillId="3" borderId="15" xfId="0" applyFont="1" applyFill="1" applyBorder="1" applyAlignment="1" applyProtection="1">
      <alignment vertical="center" wrapText="1"/>
      <protection locked="0"/>
    </xf>
    <xf numFmtId="0" fontId="18" fillId="3" borderId="15" xfId="0" applyFont="1" applyFill="1" applyBorder="1" applyAlignment="1" applyProtection="1">
      <alignment horizontal="left" vertical="center" wrapText="1"/>
      <protection locked="0"/>
    </xf>
    <xf numFmtId="0" fontId="7" fillId="0" borderId="0" xfId="37"/>
    <xf numFmtId="0" fontId="24" fillId="6" borderId="66" xfId="37" applyFont="1" applyFill="1" applyBorder="1" applyAlignment="1">
      <alignment horizontal="center" vertical="center"/>
    </xf>
    <xf numFmtId="0" fontId="19" fillId="3" borderId="67" xfId="37" applyFont="1" applyFill="1" applyBorder="1" applyAlignment="1">
      <alignment horizontal="center" vertical="center"/>
    </xf>
    <xf numFmtId="0" fontId="19" fillId="3" borderId="68" xfId="37" applyFont="1" applyFill="1" applyBorder="1" applyAlignment="1">
      <alignment horizontal="center" vertical="center"/>
    </xf>
    <xf numFmtId="0" fontId="30" fillId="0" borderId="70" xfId="37" applyFont="1" applyBorder="1" applyAlignment="1">
      <alignment vertical="center" wrapText="1"/>
    </xf>
    <xf numFmtId="0" fontId="30" fillId="0" borderId="70" xfId="37" applyFont="1" applyBorder="1"/>
    <xf numFmtId="0" fontId="30" fillId="0" borderId="71" xfId="37" applyFont="1" applyBorder="1" applyAlignment="1">
      <alignment vertical="center" wrapText="1"/>
    </xf>
    <xf numFmtId="0" fontId="30" fillId="0" borderId="70" xfId="37" applyFont="1" applyBorder="1" applyAlignment="1">
      <alignment horizontal="justify" vertical="center" wrapText="1"/>
    </xf>
    <xf numFmtId="0" fontId="39" fillId="0" borderId="70" xfId="37" applyFont="1" applyBorder="1" applyAlignment="1">
      <alignment vertical="center" wrapText="1"/>
    </xf>
    <xf numFmtId="0" fontId="30" fillId="0" borderId="76" xfId="37" applyFont="1" applyBorder="1" applyAlignment="1">
      <alignment horizontal="justify" vertical="center" wrapText="1"/>
    </xf>
    <xf numFmtId="0" fontId="30" fillId="0" borderId="76" xfId="37" applyFont="1" applyBorder="1"/>
    <xf numFmtId="0" fontId="36" fillId="5" borderId="0" xfId="41" applyFont="1" applyFill="1" applyAlignment="1">
      <alignment horizontal="centerContinuous"/>
    </xf>
    <xf numFmtId="0" fontId="36" fillId="5" borderId="0" xfId="41" applyFont="1" applyFill="1"/>
    <xf numFmtId="0" fontId="4" fillId="0" borderId="0" xfId="41"/>
    <xf numFmtId="0" fontId="36" fillId="5" borderId="0" xfId="41" applyFont="1" applyFill="1" applyAlignment="1">
      <alignment horizontal="center"/>
    </xf>
    <xf numFmtId="0" fontId="32" fillId="0" borderId="0" xfId="37" applyFont="1" applyAlignment="1">
      <alignment horizontal="center" vertical="center" wrapText="1"/>
    </xf>
    <xf numFmtId="0" fontId="7" fillId="0" borderId="0" xfId="37" applyAlignment="1">
      <alignment horizontal="center" wrapText="1"/>
    </xf>
    <xf numFmtId="0" fontId="0" fillId="0" borderId="0" xfId="0" applyAlignment="1">
      <alignment horizontal="center"/>
    </xf>
    <xf numFmtId="0" fontId="0" fillId="0" borderId="4" xfId="0" applyBorder="1" applyAlignment="1">
      <alignment horizontal="center" vertical="center" wrapText="1"/>
    </xf>
    <xf numFmtId="0" fontId="7" fillId="0" borderId="0" xfId="0" applyFont="1" applyAlignment="1">
      <alignment horizont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15" xfId="0" applyFont="1" applyBorder="1" applyAlignment="1">
      <alignment vertical="center" wrapText="1"/>
    </xf>
    <xf numFmtId="0" fontId="30" fillId="0" borderId="4" xfId="0" applyFont="1" applyBorder="1" applyAlignment="1" applyProtection="1">
      <alignment horizontal="center" vertical="center" wrapText="1"/>
      <protection locked="0"/>
    </xf>
    <xf numFmtId="0" fontId="30" fillId="0" borderId="9" xfId="0" applyFont="1" applyBorder="1" applyAlignment="1">
      <alignment horizontal="center" vertical="center" wrapText="1"/>
    </xf>
    <xf numFmtId="4" fontId="30" fillId="0" borderId="4" xfId="42" applyNumberFormat="1" applyFont="1" applyFill="1" applyBorder="1" applyAlignment="1" applyProtection="1">
      <alignment horizontal="center" vertical="center" wrapText="1"/>
      <protection locked="0"/>
    </xf>
    <xf numFmtId="5" fontId="30" fillId="0" borderId="4" xfId="43" applyNumberFormat="1" applyFont="1" applyFill="1" applyBorder="1" applyAlignment="1" applyProtection="1">
      <alignment horizontal="center" vertical="center" wrapText="1"/>
      <protection locked="0"/>
    </xf>
    <xf numFmtId="5" fontId="30" fillId="0" borderId="5" xfId="80" applyNumberFormat="1" applyFont="1" applyFill="1" applyBorder="1" applyAlignment="1" applyProtection="1">
      <alignment horizontal="center" vertical="center" wrapText="1"/>
      <protection locked="0"/>
    </xf>
    <xf numFmtId="14" fontId="30" fillId="0" borderId="4" xfId="0" applyNumberFormat="1" applyFont="1" applyBorder="1" applyAlignment="1" applyProtection="1">
      <alignment horizontal="center" vertical="center" wrapText="1"/>
      <protection locked="0"/>
    </xf>
    <xf numFmtId="15" fontId="30" fillId="0" borderId="4" xfId="0" applyNumberFormat="1" applyFont="1" applyBorder="1" applyAlignment="1" applyProtection="1">
      <alignment horizontal="center" vertical="center" wrapText="1"/>
      <protection locked="0"/>
    </xf>
    <xf numFmtId="3" fontId="30" fillId="0" borderId="4" xfId="45" applyNumberFormat="1" applyFont="1" applyFill="1" applyBorder="1" applyAlignment="1" applyProtection="1">
      <alignment horizontal="center" vertical="center" wrapText="1"/>
      <protection locked="0"/>
    </xf>
    <xf numFmtId="4" fontId="30" fillId="0" borderId="4" xfId="45" applyNumberFormat="1" applyFont="1" applyFill="1" applyBorder="1" applyAlignment="1" applyProtection="1">
      <alignment horizontal="center" vertical="center" wrapText="1"/>
      <protection locked="0"/>
    </xf>
    <xf numFmtId="3" fontId="30" fillId="0" borderId="4" xfId="42" applyNumberFormat="1" applyFont="1" applyFill="1" applyBorder="1" applyAlignment="1" applyProtection="1">
      <alignment horizontal="center" vertical="center" wrapText="1"/>
      <protection locked="0"/>
    </xf>
    <xf numFmtId="0" fontId="30" fillId="0" borderId="4" xfId="42" applyNumberFormat="1" applyFont="1" applyFill="1" applyBorder="1" applyAlignment="1" applyProtection="1">
      <alignment horizontal="center" vertical="center" wrapText="1"/>
      <protection locked="0"/>
    </xf>
    <xf numFmtId="9" fontId="30" fillId="0" borderId="4" xfId="81" applyFont="1" applyBorder="1" applyAlignment="1" applyProtection="1">
      <alignment horizontal="center" vertical="center" wrapText="1"/>
      <protection locked="0"/>
    </xf>
    <xf numFmtId="5" fontId="30" fillId="0" borderId="4" xfId="80" applyNumberFormat="1" applyFont="1" applyBorder="1" applyAlignment="1" applyProtection="1">
      <alignment horizontal="center" vertical="center" wrapText="1"/>
      <protection locked="0"/>
    </xf>
    <xf numFmtId="0" fontId="30" fillId="0" borderId="4" xfId="80" applyNumberFormat="1" applyFont="1" applyFill="1" applyBorder="1" applyAlignment="1" applyProtection="1">
      <alignment horizontal="center" vertical="center" wrapText="1"/>
      <protection locked="0"/>
    </xf>
    <xf numFmtId="9" fontId="30" fillId="0" borderId="4" xfId="0" applyNumberFormat="1" applyFont="1" applyBorder="1" applyAlignment="1">
      <alignment horizontal="center" vertical="center" wrapText="1"/>
    </xf>
    <xf numFmtId="0" fontId="18" fillId="0" borderId="4" xfId="0" applyFont="1" applyBorder="1" applyAlignment="1">
      <alignment horizontal="center" vertical="center"/>
    </xf>
    <xf numFmtId="9" fontId="30" fillId="0" borderId="4" xfId="40" applyFont="1" applyFill="1" applyBorder="1" applyAlignment="1" applyProtection="1">
      <alignment horizontal="center" vertical="center" wrapText="1"/>
      <protection locked="0"/>
    </xf>
    <xf numFmtId="15" fontId="30" fillId="0" borderId="4" xfId="37" applyNumberFormat="1" applyFont="1" applyBorder="1" applyAlignment="1" applyProtection="1">
      <alignment horizontal="center" vertical="center" wrapText="1"/>
      <protection locked="0"/>
    </xf>
    <xf numFmtId="0" fontId="30" fillId="0" borderId="4" xfId="49" applyNumberFormat="1" applyFont="1" applyBorder="1" applyAlignment="1" applyProtection="1">
      <alignment horizontal="center" vertical="center" wrapText="1"/>
      <protection locked="0"/>
    </xf>
    <xf numFmtId="0" fontId="30" fillId="0" borderId="4" xfId="49" applyNumberFormat="1" applyFont="1" applyFill="1" applyBorder="1" applyAlignment="1" applyProtection="1">
      <alignment horizontal="center" vertical="center" wrapText="1"/>
      <protection locked="0"/>
    </xf>
    <xf numFmtId="184" fontId="30" fillId="0" borderId="4" xfId="0" applyNumberFormat="1" applyFont="1" applyBorder="1" applyAlignment="1" applyProtection="1">
      <alignment horizontal="center" vertical="center" wrapText="1"/>
      <protection locked="0"/>
    </xf>
    <xf numFmtId="3" fontId="30" fillId="0" borderId="4" xfId="45" applyNumberFormat="1" applyFont="1" applyBorder="1" applyAlignment="1" applyProtection="1">
      <alignment horizontal="center" vertical="center" wrapText="1"/>
      <protection locked="0"/>
    </xf>
    <xf numFmtId="0" fontId="30" fillId="0" borderId="4" xfId="40" applyNumberFormat="1" applyFont="1" applyFill="1" applyBorder="1" applyAlignment="1" applyProtection="1">
      <alignment horizontal="center" vertical="center" wrapText="1"/>
      <protection locked="0"/>
    </xf>
    <xf numFmtId="5" fontId="30" fillId="0" borderId="4" xfId="45" applyNumberFormat="1" applyFont="1" applyBorder="1" applyAlignment="1" applyProtection="1">
      <alignment horizontal="center" vertical="center" wrapText="1"/>
      <protection locked="0"/>
    </xf>
    <xf numFmtId="0" fontId="30" fillId="5" borderId="4" xfId="45" applyNumberFormat="1" applyFont="1" applyFill="1" applyBorder="1" applyAlignment="1" applyProtection="1">
      <alignment horizontal="center" vertical="center" wrapText="1"/>
      <protection locked="0"/>
    </xf>
    <xf numFmtId="3" fontId="30" fillId="5" borderId="4" xfId="45" applyNumberFormat="1" applyFont="1" applyFill="1" applyBorder="1" applyAlignment="1" applyProtection="1">
      <alignment horizontal="center" vertical="center" wrapText="1"/>
      <protection locked="0"/>
    </xf>
    <xf numFmtId="4" fontId="30" fillId="0" borderId="4" xfId="43" applyNumberFormat="1" applyFont="1" applyFill="1" applyBorder="1" applyAlignment="1" applyProtection="1">
      <alignment horizontal="center" vertical="center" wrapText="1"/>
      <protection locked="0"/>
    </xf>
    <xf numFmtId="5" fontId="30" fillId="0" borderId="4" xfId="45" applyNumberFormat="1" applyFont="1" applyFill="1" applyBorder="1" applyAlignment="1" applyProtection="1">
      <alignment horizontal="center" vertical="center" wrapText="1"/>
      <protection locked="0"/>
    </xf>
    <xf numFmtId="14" fontId="30" fillId="5" borderId="4" xfId="0" applyNumberFormat="1" applyFont="1" applyFill="1" applyBorder="1" applyAlignment="1" applyProtection="1">
      <alignment horizontal="center" vertical="center" wrapText="1"/>
      <protection locked="0"/>
    </xf>
    <xf numFmtId="0" fontId="30" fillId="0" borderId="4" xfId="45" applyNumberFormat="1" applyFont="1" applyFill="1" applyBorder="1" applyAlignment="1" applyProtection="1">
      <alignment horizontal="center" vertical="center" wrapText="1"/>
      <protection locked="0"/>
    </xf>
    <xf numFmtId="9" fontId="30" fillId="0" borderId="4" xfId="49" applyNumberFormat="1" applyFont="1" applyFill="1" applyBorder="1" applyAlignment="1" applyProtection="1">
      <alignment horizontal="center" vertical="center" wrapText="1"/>
      <protection locked="0"/>
    </xf>
    <xf numFmtId="0" fontId="30" fillId="0" borderId="4" xfId="0" applyFont="1" applyBorder="1" applyAlignment="1">
      <alignment vertical="center" wrapText="1"/>
    </xf>
    <xf numFmtId="0" fontId="30" fillId="0" borderId="4" xfId="50" applyNumberFormat="1" applyFont="1" applyFill="1" applyBorder="1" applyAlignment="1" applyProtection="1">
      <alignment horizontal="center" vertical="center" wrapText="1"/>
      <protection locked="0"/>
    </xf>
    <xf numFmtId="5" fontId="30" fillId="0" borderId="4" xfId="50" applyNumberFormat="1" applyFont="1" applyFill="1" applyBorder="1" applyAlignment="1" applyProtection="1">
      <alignment horizontal="center" vertical="center" wrapText="1"/>
      <protection locked="0"/>
    </xf>
    <xf numFmtId="3" fontId="30" fillId="0" borderId="4" xfId="50" applyNumberFormat="1" applyFont="1" applyFill="1" applyBorder="1" applyAlignment="1" applyProtection="1">
      <alignment horizontal="center" vertical="center" wrapText="1"/>
      <protection locked="0"/>
    </xf>
    <xf numFmtId="3" fontId="30" fillId="0" borderId="4" xfId="50" applyNumberFormat="1" applyFont="1" applyBorder="1" applyAlignment="1" applyProtection="1">
      <alignment horizontal="center" vertical="center" wrapText="1"/>
      <protection locked="0"/>
    </xf>
    <xf numFmtId="0" fontId="30" fillId="7" borderId="4" xfId="0" applyFont="1" applyFill="1" applyBorder="1" applyAlignment="1">
      <alignment horizontal="center" vertical="center" wrapText="1"/>
    </xf>
    <xf numFmtId="3" fontId="30" fillId="0" borderId="4" xfId="0" applyNumberFormat="1" applyFont="1" applyBorder="1" applyAlignment="1">
      <alignment horizontal="center" vertical="center" wrapText="1"/>
    </xf>
    <xf numFmtId="7" fontId="30" fillId="0" borderId="4" xfId="0" applyNumberFormat="1" applyFont="1" applyBorder="1" applyAlignment="1" applyProtection="1">
      <alignment horizontal="center" vertical="center" wrapText="1"/>
      <protection locked="0"/>
    </xf>
    <xf numFmtId="7" fontId="30" fillId="0" borderId="4" xfId="0" applyNumberFormat="1" applyFont="1" applyBorder="1" applyAlignment="1">
      <alignment horizontal="center" vertical="center"/>
    </xf>
    <xf numFmtId="44" fontId="30" fillId="0" borderId="4" xfId="60" applyFont="1" applyFill="1" applyBorder="1" applyAlignment="1" applyProtection="1">
      <alignment horizontal="center" vertical="center" wrapText="1"/>
      <protection locked="0"/>
    </xf>
    <xf numFmtId="3" fontId="30" fillId="0" borderId="4" xfId="0" applyNumberFormat="1" applyFont="1" applyBorder="1" applyAlignment="1">
      <alignment horizontal="center" vertical="center"/>
    </xf>
    <xf numFmtId="182" fontId="30" fillId="0" borderId="4" xfId="0" applyNumberFormat="1" applyFont="1" applyBorder="1" applyAlignment="1" applyProtection="1">
      <alignment horizontal="center" vertical="center" wrapText="1"/>
      <protection locked="0"/>
    </xf>
    <xf numFmtId="7" fontId="30" fillId="0" borderId="4" xfId="0" applyNumberFormat="1" applyFont="1" applyBorder="1" applyAlignment="1">
      <alignment horizontal="center" vertical="center" wrapText="1"/>
    </xf>
    <xf numFmtId="182" fontId="30" fillId="0" borderId="4" xfId="0" applyNumberFormat="1" applyFont="1" applyBorder="1" applyAlignment="1">
      <alignment horizontal="center" vertical="center" wrapText="1"/>
    </xf>
    <xf numFmtId="9" fontId="30" fillId="0" borderId="4" xfId="0" applyNumberFormat="1" applyFont="1" applyBorder="1" applyAlignment="1">
      <alignment horizontal="left" vertical="center" wrapText="1"/>
    </xf>
    <xf numFmtId="0" fontId="30" fillId="0" borderId="4" xfId="43" applyNumberFormat="1" applyFont="1" applyFill="1" applyBorder="1" applyAlignment="1" applyProtection="1">
      <alignment vertical="center" wrapText="1"/>
      <protection locked="0"/>
    </xf>
    <xf numFmtId="6" fontId="30" fillId="0" borderId="4" xfId="0" applyNumberFormat="1" applyFont="1" applyBorder="1" applyAlignment="1">
      <alignment horizontal="center" vertical="center" wrapText="1"/>
    </xf>
    <xf numFmtId="9" fontId="30" fillId="0" borderId="4" xfId="40" applyFont="1" applyFill="1" applyBorder="1" applyAlignment="1">
      <alignment horizontal="center" vertical="center" wrapText="1"/>
    </xf>
    <xf numFmtId="3" fontId="30" fillId="0" borderId="4" xfId="49" applyNumberFormat="1" applyFont="1" applyFill="1" applyBorder="1" applyAlignment="1" applyProtection="1">
      <alignment horizontal="center" vertical="center" wrapText="1"/>
      <protection locked="0"/>
    </xf>
    <xf numFmtId="3" fontId="30" fillId="0" borderId="4" xfId="65" applyNumberFormat="1" applyFont="1" applyFill="1" applyBorder="1" applyAlignment="1" applyProtection="1">
      <alignment horizontal="center" vertical="center" wrapText="1"/>
      <protection locked="0"/>
    </xf>
    <xf numFmtId="0" fontId="18" fillId="0" borderId="4" xfId="37" applyFont="1" applyBorder="1" applyAlignment="1" applyProtection="1">
      <alignment horizontal="center" vertical="center" wrapText="1"/>
      <protection locked="0"/>
    </xf>
    <xf numFmtId="9" fontId="30" fillId="0" borderId="4" xfId="37" applyNumberFormat="1" applyFont="1" applyBorder="1" applyAlignment="1" applyProtection="1">
      <alignment horizontal="center" vertical="center" wrapText="1"/>
      <protection locked="0"/>
    </xf>
    <xf numFmtId="182" fontId="30" fillId="0" borderId="4" xfId="45" applyNumberFormat="1" applyFont="1" applyFill="1" applyBorder="1" applyAlignment="1" applyProtection="1">
      <alignment horizontal="center" vertical="center" wrapText="1"/>
      <protection locked="0"/>
    </xf>
    <xf numFmtId="182" fontId="30" fillId="0" borderId="4" xfId="45" applyNumberFormat="1" applyFont="1" applyBorder="1" applyAlignment="1" applyProtection="1">
      <alignment horizontal="center" vertical="center" wrapText="1"/>
      <protection locked="0"/>
    </xf>
    <xf numFmtId="0" fontId="18" fillId="0" borderId="4" xfId="37" applyFont="1" applyBorder="1" applyAlignment="1">
      <alignment horizontal="center" vertical="center"/>
    </xf>
    <xf numFmtId="9" fontId="30" fillId="0" borderId="4" xfId="45" applyNumberFormat="1" applyFont="1" applyFill="1" applyBorder="1" applyAlignment="1" applyProtection="1">
      <alignment horizontal="center" vertical="center" wrapText="1"/>
      <protection locked="0"/>
    </xf>
    <xf numFmtId="0" fontId="30" fillId="0" borderId="4" xfId="43" applyNumberFormat="1" applyFont="1" applyFill="1" applyBorder="1" applyAlignment="1" applyProtection="1">
      <alignment horizontal="center" vertical="center" wrapText="1"/>
      <protection locked="0"/>
    </xf>
    <xf numFmtId="0" fontId="30" fillId="0" borderId="4" xfId="66" applyNumberFormat="1" applyFont="1" applyFill="1" applyBorder="1" applyAlignment="1" applyProtection="1">
      <alignment horizontal="center" vertical="center" wrapText="1"/>
      <protection locked="0"/>
    </xf>
    <xf numFmtId="3" fontId="30" fillId="0" borderId="4" xfId="67" applyNumberFormat="1" applyFont="1" applyFill="1" applyBorder="1" applyAlignment="1" applyProtection="1">
      <alignment horizontal="center" vertical="center" wrapText="1"/>
      <protection locked="0"/>
    </xf>
    <xf numFmtId="9" fontId="30" fillId="0" borderId="4" xfId="81" applyFont="1" applyFill="1" applyBorder="1" applyAlignment="1">
      <alignment horizontal="center" vertical="center" wrapText="1"/>
    </xf>
    <xf numFmtId="9" fontId="30" fillId="5" borderId="4" xfId="0" applyNumberFormat="1" applyFont="1" applyFill="1" applyBorder="1" applyAlignment="1">
      <alignment horizontal="center" vertical="center" wrapText="1"/>
    </xf>
    <xf numFmtId="9" fontId="30" fillId="5" borderId="4" xfId="0" applyNumberFormat="1" applyFont="1" applyFill="1" applyBorder="1" applyAlignment="1" applyProtection="1">
      <alignment horizontal="center" vertical="center" wrapText="1"/>
      <protection locked="0"/>
    </xf>
    <xf numFmtId="9" fontId="30" fillId="5" borderId="4" xfId="46" applyFont="1" applyFill="1" applyBorder="1" applyAlignment="1" applyProtection="1">
      <alignment horizontal="center" vertical="center" wrapText="1"/>
      <protection locked="0"/>
    </xf>
    <xf numFmtId="44" fontId="30" fillId="5" borderId="4" xfId="59" applyFont="1" applyFill="1" applyBorder="1" applyAlignment="1" applyProtection="1">
      <alignment horizontal="center" vertical="center" wrapText="1"/>
      <protection locked="0"/>
    </xf>
    <xf numFmtId="44" fontId="30" fillId="5" borderId="4" xfId="59" applyFont="1" applyFill="1" applyBorder="1" applyAlignment="1">
      <alignment horizontal="center" vertical="center" wrapText="1"/>
    </xf>
    <xf numFmtId="5" fontId="30" fillId="0" borderId="4" xfId="42" applyNumberFormat="1" applyFont="1" applyFill="1" applyBorder="1" applyAlignment="1" applyProtection="1">
      <alignment horizontal="center" vertical="center" wrapText="1"/>
      <protection locked="0"/>
    </xf>
    <xf numFmtId="6" fontId="30" fillId="0" borderId="4" xfId="0" applyNumberFormat="1" applyFont="1" applyBorder="1" applyAlignment="1">
      <alignment horizontal="center" vertical="center"/>
    </xf>
    <xf numFmtId="187" fontId="30" fillId="0" borderId="4" xfId="0" applyNumberFormat="1" applyFont="1" applyBorder="1" applyAlignment="1">
      <alignment horizontal="center" vertical="center"/>
    </xf>
    <xf numFmtId="7" fontId="30" fillId="0" borderId="4" xfId="65" applyNumberFormat="1" applyFont="1" applyFill="1" applyBorder="1" applyAlignment="1" applyProtection="1">
      <alignment horizontal="center" vertical="center" wrapText="1"/>
      <protection locked="0"/>
    </xf>
    <xf numFmtId="5" fontId="30" fillId="0" borderId="4" xfId="65" applyNumberFormat="1" applyFont="1" applyFill="1" applyBorder="1" applyAlignment="1" applyProtection="1">
      <alignment horizontal="center" vertical="center" wrapText="1"/>
      <protection locked="0"/>
    </xf>
    <xf numFmtId="0" fontId="17" fillId="0" borderId="42" xfId="0" applyFont="1" applyBorder="1" applyAlignment="1">
      <alignment horizontal="center" vertical="center"/>
    </xf>
    <xf numFmtId="0" fontId="17" fillId="0" borderId="52" xfId="0" applyFont="1" applyBorder="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center" vertical="center"/>
    </xf>
    <xf numFmtId="0" fontId="17" fillId="0" borderId="9" xfId="0" applyFont="1" applyBorder="1" applyAlignment="1">
      <alignment horizontal="center" vertical="center"/>
    </xf>
    <xf numFmtId="4" fontId="18" fillId="0" borderId="5" xfId="0" applyNumberFormat="1" applyFont="1" applyBorder="1" applyAlignment="1" applyProtection="1">
      <alignment horizontal="center" vertical="center"/>
      <protection locked="0"/>
    </xf>
    <xf numFmtId="0" fontId="30" fillId="0" borderId="4" xfId="80" applyNumberFormat="1" applyFont="1" applyFill="1" applyBorder="1" applyAlignment="1" applyProtection="1">
      <alignment vertical="center" wrapText="1"/>
      <protection locked="0"/>
    </xf>
    <xf numFmtId="5" fontId="18" fillId="0" borderId="4" xfId="43" applyNumberFormat="1" applyFont="1" applyFill="1" applyBorder="1" applyAlignment="1" applyProtection="1">
      <alignment horizontal="center" vertical="center" wrapText="1"/>
      <protection locked="0"/>
    </xf>
    <xf numFmtId="0" fontId="20" fillId="0" borderId="39" xfId="0" applyFont="1" applyBorder="1" applyAlignment="1">
      <alignment vertical="center"/>
    </xf>
    <xf numFmtId="0" fontId="20" fillId="0" borderId="28" xfId="0" applyFont="1" applyBorder="1" applyAlignment="1">
      <alignment vertical="center"/>
    </xf>
    <xf numFmtId="0" fontId="20" fillId="0" borderId="20" xfId="0" applyFont="1" applyBorder="1" applyAlignment="1" applyProtection="1">
      <alignment vertical="center" wrapText="1"/>
      <protection locked="0"/>
    </xf>
    <xf numFmtId="0" fontId="20" fillId="2" borderId="20" xfId="0" applyFont="1" applyFill="1" applyBorder="1" applyAlignment="1">
      <alignment vertical="center"/>
    </xf>
    <xf numFmtId="9" fontId="30" fillId="0" borderId="4" xfId="80" applyNumberFormat="1" applyFont="1" applyFill="1" applyBorder="1" applyAlignment="1" applyProtection="1">
      <alignment horizontal="center" vertical="center" wrapText="1"/>
      <protection locked="0"/>
    </xf>
    <xf numFmtId="7" fontId="30" fillId="0" borderId="4" xfId="47" applyNumberFormat="1" applyFont="1" applyFill="1" applyBorder="1" applyAlignment="1" applyProtection="1">
      <alignment horizontal="center" vertical="center" wrapText="1"/>
      <protection locked="0"/>
    </xf>
    <xf numFmtId="3" fontId="30" fillId="0" borderId="4" xfId="47" applyNumberFormat="1" applyFont="1" applyFill="1" applyBorder="1" applyAlignment="1" applyProtection="1">
      <alignment horizontal="center" vertical="center" wrapText="1"/>
      <protection locked="0"/>
    </xf>
    <xf numFmtId="5" fontId="30" fillId="0" borderId="4" xfId="47" applyNumberFormat="1" applyFont="1" applyFill="1" applyBorder="1" applyAlignment="1" applyProtection="1">
      <alignment horizontal="center" vertical="center" wrapText="1"/>
      <protection locked="0"/>
    </xf>
    <xf numFmtId="182" fontId="30" fillId="0" borderId="4" xfId="47" applyNumberFormat="1" applyFont="1" applyFill="1" applyBorder="1" applyAlignment="1" applyProtection="1">
      <alignment horizontal="center" vertical="center" wrapText="1"/>
      <protection locked="0"/>
    </xf>
    <xf numFmtId="4" fontId="30" fillId="0" borderId="4" xfId="50" applyNumberFormat="1" applyFont="1" applyFill="1" applyBorder="1" applyAlignment="1" applyProtection="1">
      <alignment horizontal="center" vertical="center" wrapText="1"/>
      <protection locked="0"/>
    </xf>
    <xf numFmtId="14" fontId="30" fillId="0" borderId="4" xfId="37" applyNumberFormat="1" applyFont="1" applyBorder="1" applyAlignment="1" applyProtection="1">
      <alignment horizontal="center" vertical="center" wrapText="1"/>
      <protection locked="0"/>
    </xf>
    <xf numFmtId="7" fontId="30" fillId="0" borderId="4" xfId="55" applyNumberFormat="1" applyFont="1" applyFill="1" applyBorder="1" applyAlignment="1" applyProtection="1">
      <alignment horizontal="center" vertical="center" wrapText="1"/>
      <protection locked="0"/>
    </xf>
    <xf numFmtId="3" fontId="30" fillId="0" borderId="4" xfId="55" applyNumberFormat="1" applyFont="1" applyFill="1" applyBorder="1" applyAlignment="1" applyProtection="1">
      <alignment horizontal="center" vertical="center" wrapText="1"/>
      <protection locked="0"/>
    </xf>
    <xf numFmtId="5" fontId="30" fillId="0" borderId="4" xfId="55" applyNumberFormat="1" applyFont="1" applyFill="1" applyBorder="1" applyAlignment="1" applyProtection="1">
      <alignment horizontal="center" vertical="center" wrapText="1"/>
      <protection locked="0"/>
    </xf>
    <xf numFmtId="0" fontId="30" fillId="0" borderId="4" xfId="47" applyNumberFormat="1" applyFont="1" applyFill="1" applyBorder="1" applyAlignment="1" applyProtection="1">
      <alignment horizontal="center" vertical="center" wrapText="1"/>
      <protection locked="0"/>
    </xf>
    <xf numFmtId="0" fontId="30" fillId="0" borderId="4" xfId="49" applyNumberFormat="1" applyFont="1" applyFill="1" applyBorder="1" applyAlignment="1" applyProtection="1">
      <alignment vertical="center" wrapText="1"/>
      <protection locked="0"/>
    </xf>
    <xf numFmtId="180" fontId="30" fillId="0" borderId="4" xfId="0" applyNumberFormat="1" applyFont="1" applyBorder="1" applyAlignment="1" applyProtection="1">
      <alignment horizontal="center" vertical="center" wrapText="1"/>
      <protection locked="0"/>
    </xf>
    <xf numFmtId="3" fontId="30" fillId="0" borderId="4" xfId="0" applyNumberFormat="1" applyFont="1" applyBorder="1" applyAlignment="1" applyProtection="1">
      <alignment horizontal="center" vertical="center" wrapText="1"/>
      <protection locked="0"/>
    </xf>
    <xf numFmtId="7" fontId="30" fillId="0" borderId="4" xfId="43" applyNumberFormat="1" applyFont="1" applyFill="1" applyBorder="1" applyAlignment="1" applyProtection="1">
      <alignment horizontal="center" vertical="center" wrapText="1"/>
      <protection locked="0"/>
    </xf>
    <xf numFmtId="182" fontId="30" fillId="0" borderId="4" xfId="43" applyNumberFormat="1" applyFont="1" applyFill="1" applyBorder="1" applyAlignment="1" applyProtection="1">
      <alignment horizontal="center" vertical="center" wrapText="1"/>
      <protection locked="0"/>
    </xf>
    <xf numFmtId="186" fontId="30" fillId="0" borderId="4" xfId="45" applyNumberFormat="1" applyFont="1" applyFill="1" applyBorder="1" applyAlignment="1" applyProtection="1">
      <alignment horizontal="center" vertical="center" wrapText="1"/>
      <protection locked="0"/>
    </xf>
    <xf numFmtId="186" fontId="30" fillId="0" borderId="4" xfId="43" applyNumberFormat="1" applyFont="1" applyFill="1" applyBorder="1" applyAlignment="1" applyProtection="1">
      <alignment horizontal="center" vertical="center" wrapText="1"/>
      <protection locked="0"/>
    </xf>
    <xf numFmtId="10" fontId="30" fillId="0" borderId="4" xfId="49" applyNumberFormat="1" applyFont="1" applyFill="1" applyBorder="1" applyAlignment="1" applyProtection="1">
      <alignment horizontal="center" vertical="center" wrapText="1"/>
      <protection locked="0"/>
    </xf>
    <xf numFmtId="7" fontId="30" fillId="0" borderId="4" xfId="50" applyNumberFormat="1" applyFont="1" applyFill="1" applyBorder="1" applyAlignment="1" applyProtection="1">
      <alignment horizontal="center" vertical="center" wrapText="1"/>
      <protection locked="0"/>
    </xf>
    <xf numFmtId="3" fontId="30" fillId="0" borderId="4" xfId="61" applyNumberFormat="1" applyFont="1" applyFill="1" applyBorder="1" applyAlignment="1" applyProtection="1">
      <alignment horizontal="center" vertical="center" wrapText="1"/>
      <protection locked="0"/>
    </xf>
    <xf numFmtId="9" fontId="30" fillId="0" borderId="4" xfId="46" applyFont="1" applyFill="1" applyBorder="1" applyAlignment="1" applyProtection="1">
      <alignment horizontal="center" vertical="center" wrapText="1"/>
      <protection locked="0"/>
    </xf>
    <xf numFmtId="180" fontId="30" fillId="0" borderId="4" xfId="81" applyNumberFormat="1" applyFont="1" applyBorder="1" applyAlignment="1" applyProtection="1">
      <alignment horizontal="center" vertical="center" wrapText="1"/>
      <protection locked="0"/>
    </xf>
    <xf numFmtId="5" fontId="30" fillId="0" borderId="4" xfId="43" applyNumberFormat="1" applyFont="1" applyBorder="1" applyAlignment="1" applyProtection="1">
      <alignment horizontal="center" vertical="center" wrapText="1"/>
      <protection locked="0"/>
    </xf>
    <xf numFmtId="9" fontId="30" fillId="0" borderId="4" xfId="40" applyFont="1" applyBorder="1" applyAlignment="1" applyProtection="1">
      <alignment horizontal="center" vertical="center" wrapText="1"/>
      <protection locked="0"/>
    </xf>
    <xf numFmtId="3" fontId="30" fillId="0" borderId="4" xfId="43" applyNumberFormat="1" applyFont="1" applyBorder="1" applyAlignment="1" applyProtection="1">
      <alignment horizontal="center" vertical="center" wrapText="1"/>
      <protection locked="0"/>
    </xf>
    <xf numFmtId="5" fontId="30" fillId="0" borderId="4" xfId="42" applyNumberFormat="1" applyFont="1" applyFill="1" applyBorder="1" applyAlignment="1" applyProtection="1">
      <alignment vertical="center" wrapText="1"/>
      <protection locked="0"/>
    </xf>
    <xf numFmtId="5" fontId="30" fillId="0" borderId="4" xfId="50" applyNumberFormat="1" applyFont="1" applyBorder="1" applyAlignment="1" applyProtection="1">
      <alignment horizontal="center" vertical="center" wrapText="1"/>
      <protection locked="0"/>
    </xf>
    <xf numFmtId="0" fontId="30" fillId="0" borderId="4" xfId="50" applyNumberFormat="1" applyFont="1" applyBorder="1" applyAlignment="1" applyProtection="1">
      <alignment vertical="center" wrapText="1"/>
      <protection locked="0"/>
    </xf>
    <xf numFmtId="0" fontId="30" fillId="0" borderId="4" xfId="50" applyNumberFormat="1" applyFont="1" applyBorder="1" applyAlignment="1" applyProtection="1">
      <alignment horizontal="center" vertical="center" wrapText="1"/>
      <protection locked="0"/>
    </xf>
    <xf numFmtId="182" fontId="30" fillId="0" borderId="4" xfId="50" applyNumberFormat="1" applyFont="1" applyBorder="1" applyAlignment="1" applyProtection="1">
      <alignment horizontal="center" vertical="center" wrapText="1"/>
      <protection locked="0"/>
    </xf>
    <xf numFmtId="186" fontId="30" fillId="0" borderId="4" xfId="45" applyNumberFormat="1" applyFont="1" applyBorder="1" applyAlignment="1" applyProtection="1">
      <alignment horizontal="center" vertical="center" wrapText="1"/>
      <protection locked="0"/>
    </xf>
    <xf numFmtId="185" fontId="30" fillId="0" borderId="4" xfId="0" applyNumberFormat="1" applyFont="1" applyBorder="1" applyAlignment="1">
      <alignment horizontal="center" vertical="center" wrapText="1"/>
    </xf>
    <xf numFmtId="0" fontId="30" fillId="0" borderId="4" xfId="51" applyNumberFormat="1" applyFont="1" applyBorder="1" applyAlignment="1">
      <alignment horizontal="center" vertical="center" wrapText="1"/>
      <protection locked="0"/>
    </xf>
    <xf numFmtId="5" fontId="30" fillId="0" borderId="4" xfId="51" applyNumberFormat="1" applyFont="1" applyBorder="1" applyAlignment="1">
      <alignment horizontal="center" vertical="center" wrapText="1"/>
      <protection locked="0"/>
    </xf>
    <xf numFmtId="180" fontId="30" fillId="0" borderId="4" xfId="46" applyNumberFormat="1" applyFont="1" applyFill="1" applyBorder="1" applyAlignment="1" applyProtection="1">
      <alignment horizontal="center" vertical="center" wrapText="1"/>
      <protection locked="0"/>
    </xf>
    <xf numFmtId="0" fontId="30" fillId="0" borderId="4" xfId="45" applyNumberFormat="1" applyFont="1" applyFill="1" applyBorder="1" applyAlignment="1" applyProtection="1">
      <alignment vertical="center" wrapText="1"/>
      <protection locked="0"/>
    </xf>
    <xf numFmtId="43" fontId="30" fillId="0" borderId="4" xfId="49" applyFont="1" applyFill="1" applyBorder="1" applyAlignment="1">
      <alignment horizontal="center" vertical="center"/>
    </xf>
    <xf numFmtId="0" fontId="30" fillId="0" borderId="4" xfId="49" applyNumberFormat="1" applyFont="1" applyFill="1" applyBorder="1" applyAlignment="1" applyProtection="1">
      <alignment horizontal="left" vertical="center" wrapText="1"/>
      <protection locked="0"/>
    </xf>
    <xf numFmtId="7" fontId="30" fillId="0" borderId="4" xfId="80" applyNumberFormat="1" applyFont="1" applyFill="1" applyBorder="1" applyAlignment="1" applyProtection="1">
      <alignment horizontal="center" vertical="center" wrapText="1"/>
      <protection locked="0"/>
    </xf>
    <xf numFmtId="3" fontId="30" fillId="0" borderId="9" xfId="45" applyNumberFormat="1" applyFont="1" applyFill="1" applyBorder="1" applyAlignment="1" applyProtection="1">
      <alignment horizontal="center" vertical="center" wrapText="1"/>
      <protection locked="0"/>
    </xf>
    <xf numFmtId="5" fontId="30" fillId="8" borderId="4" xfId="43" applyNumberFormat="1" applyFont="1" applyFill="1" applyBorder="1" applyAlignment="1" applyProtection="1">
      <alignment horizontal="center" vertical="center" wrapText="1"/>
      <protection locked="0"/>
    </xf>
    <xf numFmtId="180" fontId="30" fillId="0" borderId="4" xfId="81" applyNumberFormat="1" applyFont="1" applyFill="1" applyBorder="1" applyAlignment="1" applyProtection="1">
      <alignment horizontal="center" vertical="center" wrapText="1"/>
      <protection locked="0"/>
    </xf>
    <xf numFmtId="180" fontId="30" fillId="0" borderId="4" xfId="81" applyNumberFormat="1" applyFont="1" applyFill="1" applyBorder="1" applyAlignment="1" applyProtection="1">
      <alignment horizontal="center" vertical="center" wrapText="1"/>
      <protection locked="0"/>
    </xf>
    <xf numFmtId="0" fontId="30" fillId="0" borderId="4" xfId="37" applyFont="1" applyFill="1" applyBorder="1" applyAlignment="1" applyProtection="1">
      <alignment horizontal="center" vertical="center" wrapText="1"/>
      <protection locked="0"/>
    </xf>
    <xf numFmtId="15" fontId="30" fillId="0" borderId="4" xfId="0" applyNumberFormat="1" applyFont="1" applyFill="1" applyBorder="1" applyAlignment="1" applyProtection="1">
      <alignment horizontal="center" vertical="center" wrapText="1"/>
      <protection locked="0"/>
    </xf>
    <xf numFmtId="0" fontId="30" fillId="0" borderId="4" xfId="0" applyFont="1" applyFill="1" applyBorder="1" applyAlignment="1">
      <alignment horizontal="center" vertical="center" wrapText="1"/>
    </xf>
    <xf numFmtId="0" fontId="30" fillId="0" borderId="4" xfId="37" applyFont="1" applyBorder="1" applyAlignment="1">
      <alignment horizontal="left" vertical="center" wrapText="1"/>
    </xf>
    <xf numFmtId="0" fontId="30" fillId="0" borderId="4" xfId="37" applyFont="1" applyBorder="1" applyAlignment="1">
      <alignment horizontal="center" vertical="center"/>
    </xf>
    <xf numFmtId="0" fontId="30" fillId="0" borderId="4" xfId="37" applyFont="1" applyBorder="1" applyAlignment="1">
      <alignment horizontal="center" vertical="center" wrapText="1"/>
    </xf>
    <xf numFmtId="0" fontId="30" fillId="0" borderId="4" xfId="37" applyFont="1" applyBorder="1" applyAlignment="1" applyProtection="1">
      <alignment horizontal="center" vertical="center" wrapText="1"/>
      <protection locked="0"/>
    </xf>
    <xf numFmtId="3" fontId="30" fillId="0" borderId="4" xfId="43" applyNumberFormat="1" applyFont="1" applyFill="1" applyBorder="1" applyAlignment="1" applyProtection="1">
      <alignment horizontal="center" vertical="center" wrapText="1"/>
      <protection locked="0"/>
    </xf>
    <xf numFmtId="9" fontId="30" fillId="0" borderId="4" xfId="40" applyFont="1" applyFill="1" applyBorder="1" applyAlignment="1">
      <alignment horizontal="center" vertical="center"/>
    </xf>
    <xf numFmtId="10" fontId="30" fillId="0" borderId="4" xfId="40" applyNumberFormat="1" applyFont="1" applyFill="1" applyBorder="1" applyAlignment="1">
      <alignment horizontal="center" vertical="center"/>
    </xf>
    <xf numFmtId="10" fontId="30" fillId="0" borderId="4" xfId="40" applyNumberFormat="1" applyFont="1" applyFill="1" applyBorder="1" applyAlignment="1" applyProtection="1">
      <alignment horizontal="center" vertical="center" wrapText="1"/>
      <protection locked="0"/>
    </xf>
    <xf numFmtId="9" fontId="30" fillId="0" borderId="4" xfId="46" applyFont="1" applyFill="1" applyBorder="1" applyAlignment="1" applyProtection="1">
      <alignment horizontal="center" vertical="center" wrapText="1"/>
      <protection locked="0"/>
    </xf>
    <xf numFmtId="180" fontId="30" fillId="0" borderId="4" xfId="46" applyNumberFormat="1" applyFont="1" applyFill="1" applyBorder="1" applyAlignment="1" applyProtection="1">
      <alignment horizontal="center" vertical="center" wrapText="1"/>
      <protection locked="0"/>
    </xf>
    <xf numFmtId="9" fontId="30" fillId="0" borderId="4" xfId="46" applyFont="1" applyBorder="1" applyAlignment="1" applyProtection="1">
      <alignment horizontal="center" vertical="center" wrapText="1"/>
      <protection locked="0"/>
    </xf>
    <xf numFmtId="44" fontId="30" fillId="0" borderId="4" xfId="82" applyFont="1" applyFill="1" applyBorder="1" applyAlignment="1" applyProtection="1">
      <alignment horizontal="center" vertical="center" wrapText="1"/>
      <protection locked="0"/>
    </xf>
    <xf numFmtId="44" fontId="30" fillId="0" borderId="4" xfId="82" applyFont="1" applyFill="1" applyBorder="1" applyAlignment="1" applyProtection="1">
      <alignment vertical="center" wrapText="1"/>
      <protection locked="0"/>
    </xf>
    <xf numFmtId="44" fontId="30" fillId="0" borderId="4" xfId="82" applyFont="1" applyBorder="1" applyAlignment="1" applyProtection="1">
      <alignment horizontal="center" vertical="center" wrapText="1"/>
      <protection locked="0"/>
    </xf>
    <xf numFmtId="44" fontId="30" fillId="0" borderId="4" xfId="82" applyFont="1" applyBorder="1" applyAlignment="1">
      <alignment horizontal="center" vertical="center" wrapText="1"/>
    </xf>
    <xf numFmtId="44" fontId="20" fillId="0" borderId="4" xfId="82" applyFont="1" applyFill="1" applyBorder="1" applyAlignment="1" applyProtection="1">
      <alignment horizontal="left" vertical="center" wrapText="1"/>
      <protection locked="0"/>
    </xf>
    <xf numFmtId="44" fontId="30" fillId="0" borderId="4" xfId="82" applyFont="1" applyFill="1" applyBorder="1" applyAlignment="1">
      <alignment horizontal="center" vertical="center" wrapText="1"/>
    </xf>
    <xf numFmtId="44" fontId="30" fillId="0" borderId="4" xfId="82" applyFont="1" applyFill="1" applyBorder="1" applyAlignment="1">
      <alignment horizontal="center" vertical="center"/>
    </xf>
    <xf numFmtId="44" fontId="30" fillId="0" borderId="4" xfId="82" applyFont="1" applyBorder="1" applyAlignment="1">
      <alignment horizontal="center" vertical="center"/>
    </xf>
    <xf numFmtId="44" fontId="30" fillId="5" borderId="4" xfId="82" applyFont="1" applyFill="1" applyBorder="1" applyAlignment="1" applyProtection="1">
      <alignment horizontal="center" vertical="center" wrapText="1"/>
      <protection locked="0"/>
    </xf>
    <xf numFmtId="44" fontId="18" fillId="0" borderId="4" xfId="82" applyFont="1" applyBorder="1" applyAlignment="1" applyProtection="1">
      <alignment horizontal="center" vertical="center" wrapText="1"/>
      <protection locked="0"/>
    </xf>
    <xf numFmtId="0" fontId="30" fillId="0" borderId="4" xfId="0" applyFont="1" applyFill="1" applyBorder="1" applyAlignment="1">
      <alignment horizontal="center" vertical="center"/>
    </xf>
    <xf numFmtId="7" fontId="30" fillId="0" borderId="4" xfId="0" applyNumberFormat="1" applyFont="1" applyFill="1" applyBorder="1" applyAlignment="1">
      <alignment horizontal="center" vertical="center"/>
    </xf>
    <xf numFmtId="7" fontId="30" fillId="0" borderId="4" xfId="0" applyNumberFormat="1" applyFont="1" applyFill="1" applyBorder="1" applyAlignment="1">
      <alignment horizontal="center" vertical="center" wrapText="1"/>
    </xf>
    <xf numFmtId="187" fontId="30" fillId="0" borderId="4" xfId="0" applyNumberFormat="1" applyFont="1" applyFill="1" applyBorder="1" applyAlignment="1">
      <alignment horizontal="center" vertical="center"/>
    </xf>
    <xf numFmtId="0" fontId="30" fillId="0" borderId="9" xfId="0" applyFont="1" applyFill="1" applyBorder="1" applyAlignment="1">
      <alignment horizontal="center" vertical="center" wrapText="1"/>
    </xf>
    <xf numFmtId="0" fontId="16" fillId="0" borderId="0" xfId="0" applyFont="1" applyFill="1" applyAlignment="1">
      <alignment horizontal="center" vertical="center"/>
    </xf>
    <xf numFmtId="192" fontId="30" fillId="0" borderId="4" xfId="0" applyNumberFormat="1" applyFont="1" applyFill="1" applyBorder="1" applyAlignment="1">
      <alignment horizontal="center" vertical="center" wrapText="1"/>
    </xf>
    <xf numFmtId="187" fontId="30" fillId="0" borderId="4" xfId="0" applyNumberFormat="1" applyFont="1" applyFill="1" applyBorder="1" applyAlignment="1">
      <alignment horizontal="center" vertical="center" wrapText="1"/>
    </xf>
    <xf numFmtId="0" fontId="30" fillId="0" borderId="4" xfId="43" applyNumberFormat="1" applyFont="1" applyFill="1" applyBorder="1" applyAlignment="1" applyProtection="1">
      <alignment horizontal="left" vertical="center" wrapText="1"/>
      <protection locked="0"/>
    </xf>
    <xf numFmtId="166" fontId="30" fillId="0" borderId="4" xfId="0" applyNumberFormat="1" applyFont="1" applyBorder="1" applyAlignment="1">
      <alignment horizontal="center" vertical="center" wrapText="1"/>
    </xf>
    <xf numFmtId="3" fontId="30" fillId="0" borderId="4" xfId="52" applyNumberFormat="1" applyFont="1" applyFill="1" applyBorder="1" applyAlignment="1" applyProtection="1">
      <alignment horizontal="center" vertical="center" wrapText="1"/>
      <protection locked="0"/>
    </xf>
    <xf numFmtId="184" fontId="30" fillId="5" borderId="4" xfId="0" applyNumberFormat="1" applyFont="1" applyFill="1" applyBorder="1" applyAlignment="1" applyProtection="1">
      <alignment horizontal="center" vertical="center" wrapText="1"/>
      <protection locked="0"/>
    </xf>
    <xf numFmtId="0" fontId="30" fillId="8" borderId="4" xfId="0" applyFont="1" applyFill="1" applyBorder="1" applyAlignment="1">
      <alignment horizontal="center" vertical="center" wrapText="1"/>
    </xf>
    <xf numFmtId="0" fontId="30" fillId="5" borderId="4" xfId="43" applyNumberFormat="1" applyFont="1" applyFill="1" applyBorder="1" applyAlignment="1" applyProtection="1">
      <alignment horizontal="center" vertical="center" wrapText="1"/>
      <protection locked="0"/>
    </xf>
    <xf numFmtId="15" fontId="30" fillId="5" borderId="4" xfId="0" applyNumberFormat="1" applyFont="1" applyFill="1" applyBorder="1" applyAlignment="1" applyProtection="1">
      <alignment horizontal="center" vertical="center" wrapText="1"/>
      <protection locked="0"/>
    </xf>
    <xf numFmtId="3" fontId="30" fillId="5" borderId="4" xfId="43" applyNumberFormat="1" applyFont="1" applyFill="1" applyBorder="1" applyAlignment="1" applyProtection="1">
      <alignment horizontal="center" vertical="center" wrapText="1"/>
      <protection locked="0"/>
    </xf>
    <xf numFmtId="9" fontId="30" fillId="8" borderId="4" xfId="46" applyFont="1" applyFill="1" applyBorder="1" applyAlignment="1" applyProtection="1">
      <alignment horizontal="center" vertical="center" wrapText="1"/>
      <protection locked="0"/>
    </xf>
    <xf numFmtId="44" fontId="30" fillId="8" borderId="4" xfId="82" applyFont="1" applyFill="1" applyBorder="1" applyAlignment="1">
      <alignment horizontal="center" vertical="center" wrapText="1"/>
    </xf>
    <xf numFmtId="3" fontId="30" fillId="8" borderId="4" xfId="43" applyNumberFormat="1" applyFont="1" applyFill="1" applyBorder="1" applyAlignment="1" applyProtection="1">
      <alignment horizontal="center" vertical="center" wrapText="1"/>
      <protection locked="0"/>
    </xf>
    <xf numFmtId="190" fontId="30" fillId="0" borderId="4" xfId="59" applyNumberFormat="1" applyFont="1" applyFill="1" applyBorder="1" applyAlignment="1" applyProtection="1">
      <alignment horizontal="center" vertical="center" wrapText="1"/>
      <protection locked="0"/>
    </xf>
    <xf numFmtId="5" fontId="30" fillId="0" borderId="4" xfId="67" applyNumberFormat="1" applyFont="1" applyFill="1" applyBorder="1" applyAlignment="1" applyProtection="1">
      <alignment horizontal="center" vertical="center" wrapText="1"/>
      <protection locked="0"/>
    </xf>
    <xf numFmtId="9" fontId="30" fillId="0" borderId="4" xfId="83" applyFont="1" applyFill="1" applyBorder="1" applyAlignment="1" applyProtection="1">
      <alignment horizontal="center" vertical="center" wrapText="1"/>
      <protection locked="0"/>
    </xf>
    <xf numFmtId="0" fontId="30" fillId="0" borderId="0" xfId="0" applyFont="1" applyFill="1" applyAlignment="1">
      <alignment vertical="center"/>
    </xf>
    <xf numFmtId="14" fontId="30" fillId="0" borderId="4" xfId="0" applyNumberFormat="1" applyFont="1" applyFill="1" applyBorder="1" applyAlignment="1" applyProtection="1">
      <alignment horizontal="center" vertical="center" wrapText="1"/>
      <protection locked="0"/>
    </xf>
    <xf numFmtId="14" fontId="30" fillId="0" borderId="4" xfId="0" applyNumberFormat="1" applyFont="1" applyFill="1" applyBorder="1" applyAlignment="1">
      <alignment horizontal="center" vertical="center" wrapText="1"/>
    </xf>
    <xf numFmtId="3" fontId="20" fillId="0" borderId="4" xfId="45" applyNumberFormat="1" applyFont="1" applyFill="1" applyBorder="1" applyAlignment="1" applyProtection="1">
      <alignment horizontal="center" vertical="center" wrapText="1"/>
      <protection locked="0"/>
    </xf>
    <xf numFmtId="184" fontId="30" fillId="0" borderId="4" xfId="0" applyNumberFormat="1" applyFont="1" applyFill="1" applyBorder="1" applyAlignment="1" applyProtection="1">
      <alignment horizontal="center" vertical="center" wrapText="1"/>
      <protection locked="0"/>
    </xf>
    <xf numFmtId="3" fontId="30" fillId="0" borderId="4" xfId="0" applyNumberFormat="1" applyFont="1" applyFill="1" applyBorder="1" applyAlignment="1" applyProtection="1">
      <alignment horizontal="center" vertical="center" wrapText="1"/>
      <protection locked="0"/>
    </xf>
    <xf numFmtId="0" fontId="30" fillId="0" borderId="4" xfId="0" applyFont="1" applyFill="1" applyBorder="1" applyAlignment="1">
      <alignment vertical="center" wrapText="1"/>
    </xf>
    <xf numFmtId="9" fontId="30"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xf>
    <xf numFmtId="166" fontId="30" fillId="0" borderId="4" xfId="0" applyNumberFormat="1" applyFont="1" applyFill="1" applyBorder="1" applyAlignment="1">
      <alignment horizontal="center" vertical="center" wrapText="1"/>
    </xf>
    <xf numFmtId="185" fontId="30" fillId="0" borderId="4" xfId="0" applyNumberFormat="1" applyFont="1" applyFill="1" applyBorder="1" applyAlignment="1">
      <alignment horizontal="center" vertical="center" wrapText="1"/>
    </xf>
    <xf numFmtId="15" fontId="30" fillId="0" borderId="4" xfId="37" applyNumberFormat="1" applyFont="1" applyFill="1" applyBorder="1" applyAlignment="1" applyProtection="1">
      <alignment horizontal="center" vertical="center" wrapText="1"/>
      <protection locked="0"/>
    </xf>
    <xf numFmtId="9" fontId="30" fillId="0" borderId="4" xfId="0" applyNumberFormat="1" applyFont="1" applyFill="1" applyBorder="1" applyAlignment="1">
      <alignment horizontal="center" vertical="center"/>
    </xf>
    <xf numFmtId="6" fontId="30" fillId="0" borderId="4" xfId="0" applyNumberFormat="1" applyFont="1" applyFill="1" applyBorder="1" applyAlignment="1">
      <alignment horizontal="center" vertical="center" wrapText="1"/>
    </xf>
    <xf numFmtId="0" fontId="20" fillId="0" borderId="4" xfId="0" applyFont="1" applyFill="1" applyBorder="1" applyAlignment="1" applyProtection="1">
      <alignment horizontal="center" vertical="center" wrapText="1"/>
      <protection locked="0"/>
    </xf>
    <xf numFmtId="14" fontId="30" fillId="0" borderId="4" xfId="37" applyNumberFormat="1" applyFont="1" applyFill="1" applyBorder="1" applyAlignment="1" applyProtection="1">
      <alignment horizontal="center" vertical="center" wrapText="1"/>
      <protection locked="0"/>
    </xf>
    <xf numFmtId="0" fontId="16" fillId="0" borderId="0" xfId="0" applyFont="1" applyFill="1" applyAlignment="1">
      <alignment vertical="center"/>
    </xf>
    <xf numFmtId="0" fontId="30" fillId="0" borderId="4" xfId="0" applyFont="1" applyFill="1" applyBorder="1" applyAlignment="1">
      <alignment horizontal="left" vertical="center" wrapText="1"/>
    </xf>
    <xf numFmtId="5" fontId="30" fillId="0" borderId="4" xfId="0" applyNumberFormat="1" applyFont="1" applyFill="1" applyBorder="1" applyAlignment="1">
      <alignment horizontal="center" vertical="center" wrapText="1"/>
    </xf>
    <xf numFmtId="5" fontId="30" fillId="0" borderId="4" xfId="0" applyNumberFormat="1" applyFont="1" applyFill="1" applyBorder="1" applyAlignment="1">
      <alignment vertical="center"/>
    </xf>
    <xf numFmtId="0" fontId="30" fillId="0" borderId="4" xfId="0" applyFont="1" applyFill="1" applyBorder="1" applyAlignment="1">
      <alignment vertical="center"/>
    </xf>
    <xf numFmtId="7" fontId="30" fillId="0" borderId="4" xfId="0" applyNumberFormat="1" applyFont="1" applyFill="1" applyBorder="1" applyAlignment="1" applyProtection="1">
      <alignment horizontal="center" vertical="center" wrapText="1"/>
      <protection locked="0"/>
    </xf>
    <xf numFmtId="182" fontId="30" fillId="0" borderId="4" xfId="0" applyNumberFormat="1" applyFont="1" applyFill="1" applyBorder="1" applyAlignment="1" applyProtection="1">
      <alignment horizontal="center" vertical="center" wrapText="1"/>
      <protection locked="0"/>
    </xf>
    <xf numFmtId="189" fontId="30" fillId="0" borderId="4" xfId="50" applyNumberFormat="1" applyFont="1" applyFill="1" applyBorder="1" applyAlignment="1" applyProtection="1">
      <alignment horizontal="center" vertical="center" wrapText="1"/>
      <protection locked="0"/>
    </xf>
    <xf numFmtId="169" fontId="18" fillId="0" borderId="9" xfId="80" applyNumberFormat="1" applyFont="1" applyFill="1" applyBorder="1" applyAlignment="1" applyProtection="1">
      <alignment vertical="center" wrapText="1"/>
      <protection locked="0"/>
    </xf>
    <xf numFmtId="0" fontId="57" fillId="0" borderId="4" xfId="38" applyFont="1" applyFill="1" applyBorder="1" applyAlignment="1" applyProtection="1">
      <alignment horizontal="center" vertical="center" wrapText="1"/>
    </xf>
    <xf numFmtId="3" fontId="30" fillId="0" borderId="4" xfId="0" applyNumberFormat="1" applyFont="1" applyFill="1" applyBorder="1" applyAlignment="1">
      <alignment horizontal="center" vertical="center"/>
    </xf>
    <xf numFmtId="165" fontId="30" fillId="0" borderId="4" xfId="0" applyNumberFormat="1" applyFont="1" applyFill="1" applyBorder="1" applyAlignment="1">
      <alignment vertical="center" wrapText="1"/>
    </xf>
    <xf numFmtId="9" fontId="30" fillId="0" borderId="4" xfId="0" applyNumberFormat="1" applyFont="1" applyFill="1" applyBorder="1" applyAlignment="1">
      <alignment horizontal="left" vertical="center" wrapText="1"/>
    </xf>
    <xf numFmtId="9" fontId="30" fillId="0" borderId="4" xfId="0" applyNumberFormat="1" applyFont="1" applyFill="1" applyBorder="1" applyAlignment="1" applyProtection="1">
      <alignment horizontal="center" vertical="center" wrapText="1"/>
      <protection locked="0"/>
    </xf>
    <xf numFmtId="9" fontId="30" fillId="0" borderId="4" xfId="83" applyFont="1" applyFill="1" applyBorder="1" applyAlignment="1">
      <alignment horizontal="center" vertical="center"/>
    </xf>
    <xf numFmtId="3" fontId="30" fillId="0" borderId="4" xfId="0" applyNumberFormat="1" applyFont="1" applyFill="1" applyBorder="1" applyAlignment="1">
      <alignment horizontal="center" vertical="center" wrapText="1"/>
    </xf>
    <xf numFmtId="0" fontId="30" fillId="0" borderId="4" xfId="37" applyFont="1" applyFill="1" applyBorder="1" applyAlignment="1">
      <alignment horizontal="left" vertical="center" wrapText="1"/>
    </xf>
    <xf numFmtId="10" fontId="30" fillId="0" borderId="4" xfId="0" applyNumberFormat="1" applyFont="1" applyFill="1" applyBorder="1" applyAlignment="1">
      <alignment horizontal="center" vertical="center" wrapText="1"/>
    </xf>
    <xf numFmtId="0" fontId="16" fillId="0" borderId="4" xfId="0" applyFont="1" applyBorder="1" applyAlignment="1">
      <alignment horizontal="center" vertical="center"/>
    </xf>
    <xf numFmtId="0" fontId="16" fillId="0" borderId="4" xfId="0" applyFont="1" applyFill="1" applyBorder="1" applyAlignment="1">
      <alignment horizontal="center" vertical="center"/>
    </xf>
    <xf numFmtId="0" fontId="30" fillId="0" borderId="4" xfId="37" applyFont="1" applyFill="1" applyBorder="1" applyAlignment="1">
      <alignment horizontal="center" vertical="center" wrapText="1"/>
    </xf>
    <xf numFmtId="0" fontId="30" fillId="0" borderId="4" xfId="37" applyFont="1" applyFill="1" applyBorder="1" applyAlignment="1">
      <alignment horizontal="center" vertical="center"/>
    </xf>
    <xf numFmtId="180" fontId="30" fillId="0" borderId="4" xfId="37" applyNumberFormat="1" applyFont="1" applyFill="1" applyBorder="1" applyAlignment="1">
      <alignment horizontal="center" vertical="center"/>
    </xf>
    <xf numFmtId="9" fontId="30" fillId="0" borderId="4" xfId="37" applyNumberFormat="1" applyFont="1" applyFill="1" applyBorder="1" applyAlignment="1">
      <alignment horizontal="center" vertical="center"/>
    </xf>
    <xf numFmtId="6" fontId="30" fillId="0" borderId="4" xfId="0" applyNumberFormat="1" applyFont="1" applyFill="1" applyBorder="1" applyAlignment="1">
      <alignment horizontal="center" vertical="center"/>
    </xf>
    <xf numFmtId="10" fontId="30" fillId="0" borderId="4" xfId="0" applyNumberFormat="1" applyFont="1" applyFill="1" applyBorder="1" applyAlignment="1">
      <alignment horizontal="center" vertical="center"/>
    </xf>
    <xf numFmtId="9" fontId="30" fillId="0" borderId="4" xfId="40" applyNumberFormat="1" applyFont="1" applyFill="1" applyBorder="1" applyAlignment="1">
      <alignment horizontal="center" vertical="center"/>
    </xf>
    <xf numFmtId="9" fontId="30" fillId="0" borderId="4" xfId="40" applyNumberFormat="1" applyFont="1" applyFill="1" applyBorder="1" applyAlignment="1">
      <alignment horizontal="center" vertical="center" wrapText="1"/>
    </xf>
    <xf numFmtId="9" fontId="30" fillId="0" borderId="4" xfId="37" applyNumberFormat="1" applyFont="1" applyFill="1" applyBorder="1" applyAlignment="1" applyProtection="1">
      <alignment horizontal="center" vertical="center" wrapText="1"/>
      <protection locked="0"/>
    </xf>
    <xf numFmtId="9" fontId="30" fillId="0" borderId="4" xfId="37" applyNumberFormat="1" applyFont="1" applyFill="1" applyBorder="1" applyAlignment="1">
      <alignment horizontal="center" vertical="center" wrapText="1"/>
    </xf>
    <xf numFmtId="0" fontId="30" fillId="0" borderId="4" xfId="0" applyFont="1" applyFill="1" applyBorder="1" applyAlignment="1" applyProtection="1">
      <alignment horizontal="center" vertical="top" wrapText="1"/>
      <protection locked="0"/>
    </xf>
    <xf numFmtId="9" fontId="30" fillId="0" borderId="4" xfId="6" applyNumberFormat="1" applyFont="1" applyFill="1" applyBorder="1" applyAlignment="1">
      <alignment horizontal="center" vertical="center" wrapText="1"/>
      <protection locked="0"/>
    </xf>
    <xf numFmtId="0" fontId="16" fillId="0" borderId="4" xfId="0" applyFont="1" applyFill="1" applyBorder="1" applyAlignment="1">
      <alignment vertical="center"/>
    </xf>
    <xf numFmtId="44" fontId="30" fillId="0" borderId="4" xfId="82" applyFont="1" applyFill="1" applyBorder="1" applyAlignment="1">
      <alignment vertical="center"/>
    </xf>
    <xf numFmtId="180" fontId="30" fillId="0" borderId="4" xfId="83" applyNumberFormat="1" applyFont="1" applyFill="1" applyBorder="1" applyAlignment="1" applyProtection="1">
      <alignment horizontal="center" vertical="center" wrapText="1"/>
      <protection locked="0"/>
    </xf>
    <xf numFmtId="9" fontId="30" fillId="0" borderId="4" xfId="83" applyFont="1" applyBorder="1" applyAlignment="1" applyProtection="1">
      <alignment horizontal="center" vertical="center" wrapText="1"/>
      <protection locked="0"/>
    </xf>
    <xf numFmtId="182" fontId="30" fillId="0" borderId="4" xfId="50" applyNumberFormat="1" applyFont="1" applyFill="1" applyBorder="1" applyAlignment="1" applyProtection="1">
      <alignment horizontal="center" vertical="center" wrapText="1"/>
      <protection locked="0"/>
    </xf>
    <xf numFmtId="0" fontId="30" fillId="0" borderId="4" xfId="37" applyFont="1" applyFill="1" applyBorder="1" applyAlignment="1" applyProtection="1">
      <alignment horizontal="left" vertical="top" wrapText="1"/>
      <protection locked="0"/>
    </xf>
    <xf numFmtId="41" fontId="30" fillId="0" borderId="4" xfId="57" applyFont="1" applyFill="1" applyBorder="1" applyAlignment="1">
      <alignment horizontal="center" vertical="center"/>
    </xf>
    <xf numFmtId="0" fontId="30" fillId="0" borderId="4" xfId="81" applyNumberFormat="1" applyFont="1" applyFill="1" applyBorder="1" applyAlignment="1" applyProtection="1">
      <alignment horizontal="center" vertical="center" wrapText="1"/>
      <protection locked="0"/>
    </xf>
    <xf numFmtId="0" fontId="30" fillId="0" borderId="4" xfId="45" applyNumberFormat="1" applyFont="1" applyFill="1" applyBorder="1" applyAlignment="1" applyProtection="1">
      <alignment horizontal="left" vertical="center" wrapText="1"/>
      <protection locked="0"/>
    </xf>
    <xf numFmtId="0" fontId="30" fillId="0" borderId="4" xfId="45" applyNumberFormat="1" applyFont="1" applyBorder="1" applyAlignment="1" applyProtection="1">
      <alignment vertical="center" wrapText="1"/>
      <protection locked="0"/>
    </xf>
    <xf numFmtId="0" fontId="30" fillId="5" borderId="4" xfId="43" applyNumberFormat="1" applyFont="1" applyFill="1" applyBorder="1" applyAlignment="1" applyProtection="1">
      <alignment horizontal="left" vertical="center" wrapText="1"/>
      <protection locked="0"/>
    </xf>
    <xf numFmtId="6" fontId="30" fillId="0" borderId="4" xfId="0" applyNumberFormat="1" applyFont="1" applyFill="1" applyBorder="1" applyAlignment="1" applyProtection="1">
      <alignment horizontal="center" vertical="center" wrapText="1"/>
      <protection locked="0"/>
    </xf>
    <xf numFmtId="7" fontId="30" fillId="0" borderId="4" xfId="45" applyNumberFormat="1" applyFont="1" applyFill="1" applyBorder="1" applyAlignment="1" applyProtection="1">
      <alignment horizontal="center" vertical="center" wrapText="1"/>
      <protection locked="0"/>
    </xf>
    <xf numFmtId="191" fontId="30" fillId="0" borderId="4" xfId="45" applyNumberFormat="1" applyFont="1" applyFill="1" applyBorder="1" applyAlignment="1" applyProtection="1">
      <alignment horizontal="center" vertical="center" wrapText="1"/>
      <protection locked="0"/>
    </xf>
    <xf numFmtId="1" fontId="30" fillId="0" borderId="4" xfId="0" applyNumberFormat="1" applyFont="1" applyFill="1" applyBorder="1" applyAlignment="1">
      <alignment horizontal="center" vertical="center" wrapText="1"/>
    </xf>
    <xf numFmtId="3" fontId="30" fillId="0" borderId="4" xfId="50" applyNumberFormat="1" applyFont="1" applyFill="1" applyBorder="1" applyAlignment="1" applyProtection="1">
      <alignment horizontal="left" vertical="center" wrapText="1"/>
      <protection locked="0"/>
    </xf>
    <xf numFmtId="9" fontId="30" fillId="0" borderId="4" xfId="43" applyNumberFormat="1" applyFont="1" applyFill="1" applyBorder="1" applyAlignment="1" applyProtection="1">
      <alignment horizontal="center" vertical="center" wrapText="1"/>
      <protection locked="0"/>
    </xf>
    <xf numFmtId="4" fontId="30" fillId="0" borderId="4" xfId="80" applyNumberFormat="1" applyFont="1" applyFill="1" applyBorder="1" applyAlignment="1" applyProtection="1">
      <alignment horizontal="center" vertical="center" wrapText="1"/>
      <protection locked="0"/>
    </xf>
    <xf numFmtId="44" fontId="18" fillId="0" borderId="4" xfId="82" applyFont="1" applyFill="1" applyBorder="1" applyAlignment="1">
      <alignment horizontal="center" vertical="center"/>
    </xf>
    <xf numFmtId="5" fontId="30" fillId="0" borderId="4" xfId="37" applyNumberFormat="1" applyFont="1" applyFill="1" applyBorder="1" applyAlignment="1" applyProtection="1">
      <alignment horizontal="center" vertical="center"/>
      <protection locked="0"/>
    </xf>
    <xf numFmtId="9" fontId="30" fillId="0" borderId="4" xfId="83" applyFont="1" applyFill="1" applyBorder="1" applyAlignment="1">
      <alignment horizontal="center" vertical="center" wrapText="1"/>
    </xf>
    <xf numFmtId="44" fontId="30" fillId="0" borderId="4" xfId="59" applyFont="1" applyFill="1" applyBorder="1" applyAlignment="1">
      <alignment horizontal="center" vertical="center" wrapText="1"/>
    </xf>
    <xf numFmtId="44" fontId="18" fillId="0" borderId="4" xfId="82" applyFont="1" applyBorder="1" applyAlignment="1">
      <alignment horizontal="center" vertical="center" wrapText="1"/>
    </xf>
    <xf numFmtId="10" fontId="30" fillId="0" borderId="4" xfId="81" applyNumberFormat="1" applyFont="1" applyFill="1" applyBorder="1" applyAlignment="1" applyProtection="1">
      <alignment horizontal="center" vertical="center" wrapText="1"/>
      <protection locked="0"/>
    </xf>
    <xf numFmtId="10" fontId="30" fillId="0" borderId="4" xfId="46" applyNumberFormat="1" applyFont="1" applyFill="1" applyBorder="1" applyAlignment="1" applyProtection="1">
      <alignment horizontal="center" vertical="center" wrapText="1"/>
      <protection locked="0"/>
    </xf>
    <xf numFmtId="0" fontId="30" fillId="0" borderId="4" xfId="0" applyFont="1" applyFill="1" applyBorder="1" applyAlignment="1" applyProtection="1">
      <alignment horizontal="left" vertical="center" wrapText="1"/>
      <protection locked="0"/>
    </xf>
    <xf numFmtId="0" fontId="30" fillId="8" borderId="4" xfId="43" applyNumberFormat="1" applyFont="1" applyFill="1" applyBorder="1" applyAlignment="1" applyProtection="1">
      <alignment horizontal="left" vertical="center" wrapText="1"/>
      <protection locked="0"/>
    </xf>
    <xf numFmtId="10" fontId="30" fillId="7" borderId="4" xfId="0" applyNumberFormat="1" applyFont="1" applyFill="1" applyBorder="1" applyAlignment="1">
      <alignment horizontal="center" vertical="center" wrapText="1"/>
    </xf>
    <xf numFmtId="0" fontId="30" fillId="0" borderId="70" xfId="37" applyFont="1" applyBorder="1" applyAlignment="1">
      <alignment horizontal="center"/>
    </xf>
    <xf numFmtId="0" fontId="30" fillId="5" borderId="4"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wrapText="1"/>
      <protection locked="0"/>
    </xf>
    <xf numFmtId="180" fontId="30" fillId="0" borderId="4" xfId="81" applyNumberFormat="1" applyFont="1" applyFill="1" applyBorder="1" applyAlignment="1" applyProtection="1">
      <alignment horizontal="center" vertical="center" wrapText="1"/>
      <protection locked="0"/>
    </xf>
    <xf numFmtId="44" fontId="30" fillId="0" borderId="4" xfId="43" applyNumberFormat="1" applyFont="1" applyFill="1" applyBorder="1" applyAlignment="1" applyProtection="1">
      <alignment horizontal="center" vertical="center" wrapText="1"/>
      <protection locked="0"/>
    </xf>
    <xf numFmtId="0" fontId="57" fillId="0" borderId="4" xfId="44" applyFont="1" applyFill="1" applyBorder="1" applyAlignment="1" applyProtection="1">
      <alignment horizontal="center" vertical="center" wrapText="1"/>
    </xf>
    <xf numFmtId="3" fontId="30" fillId="0" borderId="4" xfId="61" applyNumberFormat="1" applyFont="1" applyFill="1" applyBorder="1" applyAlignment="1">
      <alignment horizontal="center" vertical="center"/>
    </xf>
    <xf numFmtId="194" fontId="30" fillId="0" borderId="4" xfId="64" applyNumberFormat="1" applyFont="1" applyFill="1" applyBorder="1" applyAlignment="1" applyProtection="1">
      <alignment horizontal="center" vertical="center" wrapText="1"/>
      <protection locked="0"/>
    </xf>
    <xf numFmtId="195" fontId="30" fillId="0" borderId="4" xfId="43" applyNumberFormat="1" applyFont="1" applyFill="1" applyBorder="1" applyAlignment="1" applyProtection="1">
      <alignment horizontal="center" vertical="center" wrapText="1"/>
      <protection locked="0"/>
    </xf>
    <xf numFmtId="44" fontId="30" fillId="0" borderId="4" xfId="80" applyNumberFormat="1" applyFont="1" applyFill="1" applyBorder="1" applyAlignment="1" applyProtection="1">
      <alignment horizontal="center" vertical="center" wrapText="1"/>
      <protection locked="0"/>
    </xf>
    <xf numFmtId="7" fontId="30" fillId="0" borderId="4" xfId="53" applyNumberFormat="1" applyFont="1" applyFill="1" applyBorder="1" applyAlignment="1" applyProtection="1">
      <alignment horizontal="center" vertical="center" wrapText="1"/>
      <protection locked="0"/>
    </xf>
    <xf numFmtId="42" fontId="30" fillId="0" borderId="4" xfId="112" applyFont="1" applyFill="1" applyBorder="1" applyAlignment="1">
      <alignment vertical="center" wrapText="1"/>
    </xf>
    <xf numFmtId="5" fontId="30" fillId="0" borderId="4" xfId="0" applyNumberFormat="1" applyFont="1" applyFill="1" applyBorder="1" applyAlignment="1">
      <alignment horizontal="center" vertical="center"/>
    </xf>
    <xf numFmtId="169" fontId="18" fillId="0" borderId="9" xfId="45" applyNumberFormat="1" applyFont="1" applyFill="1" applyBorder="1" applyAlignment="1" applyProtection="1">
      <alignment vertical="center" wrapText="1"/>
      <protection locked="0"/>
    </xf>
    <xf numFmtId="169" fontId="18" fillId="0" borderId="9" xfId="80" applyNumberFormat="1" applyFont="1" applyFill="1" applyBorder="1" applyAlignment="1" applyProtection="1">
      <alignment horizontal="center" vertical="center" wrapText="1"/>
      <protection locked="0"/>
    </xf>
    <xf numFmtId="0" fontId="18" fillId="0" borderId="9" xfId="0" applyFont="1" applyFill="1" applyBorder="1" applyAlignment="1">
      <alignment horizontal="center" vertical="center" wrapText="1"/>
    </xf>
    <xf numFmtId="0" fontId="18" fillId="0" borderId="9" xfId="0" applyFont="1" applyBorder="1" applyAlignment="1">
      <alignment horizontal="center" vertical="center" wrapText="1"/>
    </xf>
    <xf numFmtId="44" fontId="30" fillId="0" borderId="4" xfId="82" applyFont="1" applyFill="1" applyBorder="1" applyAlignment="1">
      <alignment vertical="center" wrapText="1"/>
    </xf>
    <xf numFmtId="165" fontId="30" fillId="0" borderId="4" xfId="0" applyNumberFormat="1" applyFont="1" applyBorder="1" applyAlignment="1">
      <alignment vertical="center" wrapText="1"/>
    </xf>
    <xf numFmtId="5" fontId="30" fillId="0" borderId="4" xfId="0" applyNumberFormat="1" applyFont="1" applyFill="1" applyBorder="1" applyAlignment="1" applyProtection="1">
      <alignment horizontal="center" vertical="center" wrapText="1"/>
      <protection locked="0"/>
    </xf>
    <xf numFmtId="9" fontId="30" fillId="0" borderId="4" xfId="46" applyFont="1" applyFill="1" applyBorder="1" applyAlignment="1">
      <alignment horizontal="center" vertical="center" wrapText="1"/>
    </xf>
    <xf numFmtId="42" fontId="30" fillId="0" borderId="4" xfId="0" applyNumberFormat="1" applyFont="1" applyFill="1" applyBorder="1" applyAlignment="1">
      <alignment horizontal="center" vertical="center" wrapText="1"/>
    </xf>
    <xf numFmtId="14" fontId="30" fillId="0" borderId="4" xfId="37" applyNumberFormat="1" applyFont="1" applyFill="1" applyBorder="1" applyAlignment="1">
      <alignment horizontal="center" vertical="center" wrapText="1"/>
    </xf>
    <xf numFmtId="188" fontId="30" fillId="0" borderId="4" xfId="61" applyNumberFormat="1" applyFont="1" applyFill="1" applyBorder="1" applyAlignment="1" applyProtection="1">
      <alignment horizontal="center" vertical="center" wrapText="1"/>
      <protection locked="0"/>
    </xf>
    <xf numFmtId="189" fontId="30" fillId="0" borderId="4" xfId="0" applyNumberFormat="1" applyFont="1" applyFill="1" applyBorder="1" applyAlignment="1" applyProtection="1">
      <alignment horizontal="center" vertical="center" wrapText="1"/>
      <protection locked="0"/>
    </xf>
    <xf numFmtId="164" fontId="30" fillId="0" borderId="4" xfId="0" applyNumberFormat="1" applyFont="1" applyFill="1" applyBorder="1" applyAlignment="1">
      <alignment horizontal="center" vertical="center" wrapText="1"/>
    </xf>
    <xf numFmtId="8" fontId="30" fillId="0" borderId="4" xfId="82" applyNumberFormat="1" applyFont="1" applyFill="1" applyBorder="1" applyAlignment="1">
      <alignment horizontal="center" vertical="center" wrapText="1"/>
    </xf>
    <xf numFmtId="8" fontId="30" fillId="0" borderId="4" xfId="0" applyNumberFormat="1" applyFont="1" applyFill="1" applyBorder="1" applyAlignment="1">
      <alignment horizontal="center" vertical="center"/>
    </xf>
    <xf numFmtId="165" fontId="30" fillId="0" borderId="4" xfId="0" applyNumberFormat="1" applyFont="1" applyBorder="1" applyAlignment="1">
      <alignment horizontal="center" vertical="center" wrapText="1"/>
    </xf>
    <xf numFmtId="9" fontId="16" fillId="0" borderId="4" xfId="40" applyFont="1" applyFill="1" applyBorder="1" applyAlignment="1">
      <alignment vertical="center"/>
    </xf>
    <xf numFmtId="0" fontId="30" fillId="0" borderId="4" xfId="43" applyNumberFormat="1" applyFont="1" applyBorder="1" applyAlignment="1" applyProtection="1">
      <alignment vertical="center" wrapText="1"/>
      <protection locked="0"/>
    </xf>
    <xf numFmtId="165" fontId="30" fillId="0" borderId="4" xfId="0" applyNumberFormat="1" applyFont="1" applyFill="1" applyBorder="1" applyAlignment="1">
      <alignment horizontal="center" vertical="center" wrapText="1"/>
    </xf>
    <xf numFmtId="0" fontId="30" fillId="0" borderId="4" xfId="76" applyNumberFormat="1" applyFont="1" applyFill="1" applyBorder="1" applyAlignment="1" applyProtection="1">
      <alignment horizontal="center" vertical="center" wrapText="1"/>
      <protection locked="0"/>
    </xf>
    <xf numFmtId="169" fontId="18" fillId="0" borderId="4" xfId="50" applyNumberFormat="1" applyFont="1" applyBorder="1" applyAlignment="1" applyProtection="1">
      <alignment horizontal="center" vertical="center" wrapText="1"/>
      <protection locked="0"/>
    </xf>
    <xf numFmtId="169" fontId="18" fillId="0" borderId="4" xfId="50" applyNumberFormat="1" applyFont="1" applyFill="1" applyBorder="1" applyAlignment="1" applyProtection="1">
      <alignment horizontal="center" vertical="center" wrapText="1"/>
      <protection locked="0"/>
    </xf>
    <xf numFmtId="0" fontId="30" fillId="0" borderId="4" xfId="57" applyNumberFormat="1" applyFont="1" applyFill="1" applyBorder="1" applyAlignment="1" applyProtection="1">
      <alignment horizontal="center" vertical="center" wrapText="1"/>
      <protection locked="0"/>
    </xf>
    <xf numFmtId="0" fontId="30" fillId="0" borderId="4" xfId="0" applyNumberFormat="1" applyFont="1" applyFill="1" applyBorder="1" applyAlignment="1">
      <alignment horizontal="center" vertical="center" wrapText="1"/>
    </xf>
    <xf numFmtId="8" fontId="30" fillId="0" borderId="4" xfId="0" applyNumberFormat="1" applyFont="1" applyFill="1" applyBorder="1" applyAlignment="1">
      <alignment horizontal="center" vertical="center" wrapText="1"/>
    </xf>
    <xf numFmtId="0" fontId="16" fillId="0" borderId="4" xfId="37" applyFont="1" applyFill="1" applyBorder="1" applyAlignment="1">
      <alignment horizontal="center" vertical="center"/>
    </xf>
    <xf numFmtId="0" fontId="30" fillId="5" borderId="4" xfId="0" applyFont="1" applyFill="1" applyBorder="1" applyAlignment="1">
      <alignment horizontal="center" vertical="center"/>
    </xf>
    <xf numFmtId="44" fontId="30" fillId="8" borderId="4" xfId="82" applyFont="1" applyFill="1" applyBorder="1" applyAlignment="1" applyProtection="1">
      <alignment horizontal="center" vertical="center" wrapText="1"/>
      <protection locked="0"/>
    </xf>
    <xf numFmtId="0" fontId="30" fillId="8" borderId="4" xfId="0" applyFont="1" applyFill="1" applyBorder="1" applyAlignment="1">
      <alignment horizontal="center" vertical="center"/>
    </xf>
    <xf numFmtId="0" fontId="56" fillId="0" borderId="4" xfId="0" applyFont="1" applyFill="1" applyBorder="1" applyAlignment="1">
      <alignment vertical="center" wrapText="1"/>
    </xf>
    <xf numFmtId="44" fontId="17" fillId="0" borderId="4" xfId="82" applyFont="1" applyFill="1" applyBorder="1" applyAlignment="1">
      <alignment horizontal="center" vertical="center"/>
    </xf>
    <xf numFmtId="183" fontId="30" fillId="0" borderId="4" xfId="82" applyNumberFormat="1" applyFont="1" applyFill="1" applyBorder="1" applyAlignment="1">
      <alignment horizontal="center" vertical="center" wrapText="1"/>
    </xf>
    <xf numFmtId="44" fontId="30" fillId="0" borderId="4" xfId="0" applyNumberFormat="1" applyFont="1" applyFill="1" applyBorder="1" applyAlignment="1">
      <alignment horizontal="center" vertical="center" wrapText="1"/>
    </xf>
    <xf numFmtId="0" fontId="30" fillId="0" borderId="4" xfId="49" applyNumberFormat="1" applyFont="1" applyBorder="1" applyAlignment="1" applyProtection="1">
      <alignment horizontal="left" vertical="center" wrapText="1"/>
      <protection locked="0"/>
    </xf>
    <xf numFmtId="44" fontId="18" fillId="0" borderId="4" xfId="82" applyFont="1" applyFill="1" applyBorder="1" applyAlignment="1">
      <alignment horizontal="center" vertical="center" wrapText="1"/>
    </xf>
    <xf numFmtId="44" fontId="16" fillId="0" borderId="4" xfId="82" applyFont="1" applyBorder="1" applyAlignment="1">
      <alignment horizontal="center" vertical="center"/>
    </xf>
    <xf numFmtId="44" fontId="30" fillId="0" borderId="4" xfId="113" applyFont="1" applyFill="1" applyBorder="1" applyAlignment="1" applyProtection="1">
      <alignment horizontal="center" vertical="center" wrapText="1"/>
      <protection locked="0"/>
    </xf>
    <xf numFmtId="44" fontId="30" fillId="0" borderId="4" xfId="115" applyFont="1" applyFill="1" applyBorder="1" applyAlignment="1" applyProtection="1">
      <alignment horizontal="center" vertical="center" wrapText="1"/>
      <protection locked="0"/>
    </xf>
    <xf numFmtId="5" fontId="30" fillId="0" borderId="4" xfId="115" applyNumberFormat="1" applyFont="1" applyFill="1" applyBorder="1" applyAlignment="1" applyProtection="1">
      <alignment horizontal="center" vertical="center" wrapText="1"/>
      <protection locked="0"/>
    </xf>
    <xf numFmtId="3" fontId="30" fillId="0" borderId="4" xfId="114" applyNumberFormat="1" applyFont="1" applyFill="1" applyBorder="1" applyAlignment="1" applyProtection="1">
      <alignment horizontal="center" vertical="center" wrapText="1"/>
      <protection locked="0"/>
    </xf>
    <xf numFmtId="44" fontId="30" fillId="0" borderId="4" xfId="116" applyFont="1" applyFill="1" applyBorder="1" applyAlignment="1">
      <alignment horizontal="center" vertical="center" wrapText="1"/>
    </xf>
    <xf numFmtId="0" fontId="30" fillId="0" borderId="4" xfId="43" applyNumberFormat="1" applyFont="1" applyFill="1" applyBorder="1" applyAlignment="1" applyProtection="1">
      <alignment horizontal="justify" vertical="center" wrapText="1"/>
      <protection locked="0"/>
    </xf>
    <xf numFmtId="3" fontId="30" fillId="0" borderId="4" xfId="66" applyNumberFormat="1" applyFont="1" applyFill="1" applyBorder="1" applyAlignment="1" applyProtection="1">
      <alignment horizontal="center" vertical="center" wrapText="1"/>
      <protection locked="0"/>
    </xf>
    <xf numFmtId="44" fontId="30" fillId="0" borderId="4" xfId="117" applyFont="1" applyFill="1" applyBorder="1" applyAlignment="1" applyProtection="1">
      <alignment horizontal="center" vertical="center" wrapText="1"/>
      <protection locked="0"/>
    </xf>
    <xf numFmtId="0" fontId="60" fillId="0" borderId="4" xfId="38" applyFont="1" applyFill="1" applyBorder="1" applyAlignment="1" applyProtection="1">
      <alignment horizontal="center" vertical="center" wrapText="1"/>
      <protection locked="0"/>
    </xf>
    <xf numFmtId="196" fontId="30" fillId="0" borderId="4" xfId="0" applyNumberFormat="1" applyFont="1" applyFill="1" applyBorder="1" applyAlignment="1">
      <alignment horizontal="center" vertical="center"/>
    </xf>
    <xf numFmtId="0" fontId="30" fillId="0" borderId="4" xfId="0" applyFont="1" applyFill="1" applyBorder="1" applyAlignment="1">
      <alignment horizontal="center" wrapText="1"/>
    </xf>
    <xf numFmtId="0" fontId="30" fillId="0" borderId="4" xfId="0" applyFont="1" applyFill="1" applyBorder="1" applyAlignment="1">
      <alignment horizontal="center"/>
    </xf>
    <xf numFmtId="0" fontId="39" fillId="0" borderId="4" xfId="0" applyFont="1" applyFill="1" applyBorder="1" applyAlignment="1" applyProtection="1">
      <alignment horizontal="center" vertical="center" wrapText="1"/>
      <protection locked="0"/>
    </xf>
    <xf numFmtId="0" fontId="53" fillId="0" borderId="4" xfId="79" applyFill="1" applyBorder="1" applyAlignment="1" applyProtection="1">
      <alignment horizontal="center" vertical="center" wrapText="1"/>
      <protection locked="0"/>
    </xf>
    <xf numFmtId="15" fontId="39" fillId="0" borderId="4" xfId="0" applyNumberFormat="1" applyFont="1" applyFill="1" applyBorder="1" applyAlignment="1" applyProtection="1">
      <alignment horizontal="center" vertical="center" wrapText="1"/>
      <protection locked="0"/>
    </xf>
    <xf numFmtId="3" fontId="39" fillId="0" borderId="4" xfId="43" applyNumberFormat="1" applyFont="1" applyFill="1" applyBorder="1" applyAlignment="1" applyProtection="1">
      <alignment horizontal="center" vertical="center" wrapText="1"/>
      <protection locked="0"/>
    </xf>
    <xf numFmtId="9" fontId="59" fillId="0" borderId="4" xfId="0" applyNumberFormat="1" applyFont="1" applyFill="1" applyBorder="1" applyAlignment="1">
      <alignment horizontal="center" vertical="center" wrapText="1"/>
    </xf>
    <xf numFmtId="193" fontId="30" fillId="0" borderId="4" xfId="0" applyNumberFormat="1" applyFont="1" applyFill="1" applyBorder="1" applyAlignment="1">
      <alignment vertical="center" wrapText="1"/>
    </xf>
    <xf numFmtId="8" fontId="30" fillId="0" borderId="4" xfId="0" applyNumberFormat="1" applyFont="1" applyFill="1" applyBorder="1" applyAlignment="1">
      <alignment vertical="center" wrapText="1"/>
    </xf>
    <xf numFmtId="9" fontId="30" fillId="0" borderId="9" xfId="0" applyNumberFormat="1" applyFont="1" applyFill="1" applyBorder="1" applyAlignment="1">
      <alignment horizontal="center" vertical="center" wrapText="1"/>
    </xf>
    <xf numFmtId="5" fontId="18" fillId="0" borderId="5" xfId="0" applyNumberFormat="1" applyFont="1" applyBorder="1" applyAlignment="1" applyProtection="1">
      <alignment horizontal="center" vertical="center"/>
      <protection locked="0"/>
    </xf>
    <xf numFmtId="5" fontId="18" fillId="0" borderId="20" xfId="0" applyNumberFormat="1" applyFont="1" applyBorder="1" applyAlignment="1" applyProtection="1">
      <alignment horizontal="center" vertical="center"/>
      <protection locked="0"/>
    </xf>
    <xf numFmtId="5" fontId="18" fillId="0" borderId="9" xfId="0" applyNumberFormat="1" applyFont="1" applyBorder="1" applyAlignment="1" applyProtection="1">
      <alignment horizontal="center" vertical="center"/>
      <protection locked="0"/>
    </xf>
    <xf numFmtId="4" fontId="18" fillId="0" borderId="5" xfId="0" applyNumberFormat="1" applyFont="1" applyBorder="1" applyAlignment="1" applyProtection="1">
      <alignment horizontal="center" vertical="center"/>
      <protection locked="0"/>
    </xf>
    <xf numFmtId="4" fontId="18" fillId="0" borderId="20" xfId="0" applyNumberFormat="1" applyFont="1" applyBorder="1" applyAlignment="1" applyProtection="1">
      <alignment horizontal="center" vertical="center"/>
      <protection locked="0"/>
    </xf>
    <xf numFmtId="4" fontId="18" fillId="0" borderId="9" xfId="0" applyNumberFormat="1" applyFont="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18" fillId="4" borderId="4" xfId="0" applyFont="1" applyFill="1" applyBorder="1" applyAlignment="1" applyProtection="1">
      <alignment horizontal="center" vertical="center" wrapText="1"/>
      <protection locked="0"/>
    </xf>
    <xf numFmtId="0" fontId="18" fillId="4" borderId="4" xfId="0" applyFont="1" applyFill="1" applyBorder="1" applyAlignment="1">
      <alignment horizontal="center" vertical="center" wrapText="1"/>
    </xf>
    <xf numFmtId="0" fontId="18" fillId="4" borderId="4" xfId="0" applyFont="1" applyFill="1" applyBorder="1" applyAlignment="1">
      <alignment horizontal="center" vertical="center"/>
    </xf>
    <xf numFmtId="0" fontId="17" fillId="4" borderId="53" xfId="0" applyFont="1" applyFill="1" applyBorder="1" applyAlignment="1">
      <alignment horizontal="center" vertical="center"/>
    </xf>
    <xf numFmtId="3" fontId="18" fillId="4" borderId="4" xfId="0" applyNumberFormat="1" applyFont="1" applyFill="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8" fillId="0" borderId="45" xfId="0" applyFont="1" applyBorder="1" applyAlignment="1" applyProtection="1">
      <alignment horizontal="center" vertical="center" wrapText="1"/>
      <protection locked="0"/>
    </xf>
    <xf numFmtId="0" fontId="18" fillId="0" borderId="61"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40"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4" borderId="59" xfId="0" applyFont="1" applyFill="1" applyBorder="1" applyAlignment="1">
      <alignment horizontal="center" vertical="center" wrapText="1"/>
    </xf>
    <xf numFmtId="0" fontId="30" fillId="5" borderId="24" xfId="0" applyFont="1" applyFill="1" applyBorder="1" applyAlignment="1" applyProtection="1">
      <alignment horizontal="center" vertical="center" wrapText="1"/>
      <protection locked="0"/>
    </xf>
    <xf numFmtId="10" fontId="30" fillId="5" borderId="5" xfId="81" applyNumberFormat="1" applyFont="1" applyFill="1" applyBorder="1" applyAlignment="1" applyProtection="1">
      <alignment horizontal="center" vertical="center" wrapText="1"/>
      <protection locked="0"/>
    </xf>
    <xf numFmtId="0" fontId="18" fillId="4" borderId="22" xfId="0" applyFont="1" applyFill="1" applyBorder="1" applyAlignment="1">
      <alignment horizontal="center" vertical="center" wrapText="1"/>
    </xf>
    <xf numFmtId="9" fontId="18" fillId="4" borderId="23" xfId="0" applyNumberFormat="1" applyFont="1" applyFill="1" applyBorder="1" applyAlignment="1">
      <alignment horizontal="center" vertical="center" wrapText="1"/>
    </xf>
    <xf numFmtId="0" fontId="18" fillId="0" borderId="31" xfId="0" applyFont="1" applyBorder="1" applyAlignment="1">
      <alignment horizontal="center" vertical="center" wrapText="1"/>
    </xf>
    <xf numFmtId="0" fontId="18" fillId="0" borderId="29" xfId="0" applyFont="1" applyBorder="1" applyAlignment="1">
      <alignment horizontal="center" vertical="center" wrapText="1"/>
    </xf>
    <xf numFmtId="0" fontId="18" fillId="4" borderId="23" xfId="0" applyFont="1" applyFill="1" applyBorder="1" applyAlignment="1">
      <alignment horizontal="center" vertical="center"/>
    </xf>
    <xf numFmtId="0" fontId="30" fillId="0" borderId="24" xfId="0" applyFont="1" applyFill="1" applyBorder="1" applyAlignment="1" applyProtection="1">
      <alignment horizontal="center" vertical="center" wrapText="1"/>
      <protection locked="0"/>
    </xf>
    <xf numFmtId="0" fontId="30" fillId="5" borderId="77" xfId="0" applyFont="1" applyFill="1" applyBorder="1" applyAlignment="1" applyProtection="1">
      <alignment horizontal="center" vertical="center" wrapText="1"/>
      <protection locked="0"/>
    </xf>
    <xf numFmtId="0" fontId="30" fillId="5" borderId="78" xfId="0" applyFont="1" applyFill="1" applyBorder="1" applyAlignment="1" applyProtection="1">
      <alignment horizontal="center" vertical="center" wrapText="1"/>
      <protection locked="0"/>
    </xf>
    <xf numFmtId="0" fontId="30" fillId="5" borderId="4"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wrapText="1"/>
      <protection locked="0"/>
    </xf>
    <xf numFmtId="10" fontId="30" fillId="5" borderId="1" xfId="81" applyNumberFormat="1" applyFont="1" applyFill="1" applyBorder="1" applyAlignment="1" applyProtection="1">
      <alignment horizontal="center" vertical="center" wrapText="1"/>
      <protection locked="0"/>
    </xf>
    <xf numFmtId="10" fontId="30" fillId="5" borderId="28" xfId="81" applyNumberFormat="1" applyFont="1" applyFill="1" applyBorder="1" applyAlignment="1" applyProtection="1">
      <alignment horizontal="center" vertical="center" wrapText="1"/>
      <protection locked="0"/>
    </xf>
    <xf numFmtId="10" fontId="30" fillId="5" borderId="79" xfId="81" applyNumberFormat="1" applyFont="1" applyFill="1" applyBorder="1" applyAlignment="1" applyProtection="1">
      <alignment horizontal="center" vertical="center" wrapText="1"/>
      <protection locked="0"/>
    </xf>
    <xf numFmtId="180" fontId="30" fillId="0" borderId="20" xfId="81" applyNumberFormat="1" applyFont="1" applyFill="1" applyBorder="1" applyAlignment="1" applyProtection="1">
      <alignment horizontal="center" vertical="center" wrapText="1"/>
      <protection locked="0"/>
    </xf>
    <xf numFmtId="3" fontId="18" fillId="4" borderId="4" xfId="0" applyNumberFormat="1" applyFont="1" applyFill="1" applyBorder="1" applyAlignment="1" applyProtection="1">
      <alignment horizontal="center" vertical="center"/>
      <protection locked="0"/>
    </xf>
    <xf numFmtId="0" fontId="18" fillId="4" borderId="54" xfId="0" applyFont="1" applyFill="1" applyBorder="1" applyAlignment="1" applyProtection="1">
      <alignment horizontal="center" vertical="center"/>
      <protection locked="0"/>
    </xf>
    <xf numFmtId="180" fontId="30" fillId="3" borderId="20" xfId="81" applyNumberFormat="1" applyFont="1" applyFill="1" applyBorder="1" applyAlignment="1" applyProtection="1">
      <alignment horizontal="center" vertical="center" wrapText="1"/>
      <protection locked="0"/>
    </xf>
    <xf numFmtId="0" fontId="18" fillId="4" borderId="7" xfId="0" applyFont="1" applyFill="1" applyBorder="1" applyAlignment="1" applyProtection="1">
      <alignment horizontal="center" vertical="center" wrapText="1"/>
      <protection locked="0"/>
    </xf>
    <xf numFmtId="180" fontId="30" fillId="0" borderId="4" xfId="81" applyNumberFormat="1" applyFont="1" applyFill="1" applyBorder="1" applyAlignment="1" applyProtection="1">
      <alignment horizontal="center" vertical="center" wrapText="1"/>
      <protection locked="0"/>
    </xf>
    <xf numFmtId="0" fontId="17" fillId="4" borderId="4" xfId="0" applyFont="1" applyFill="1" applyBorder="1" applyAlignment="1">
      <alignment horizontal="center" vertical="center"/>
    </xf>
    <xf numFmtId="0" fontId="19" fillId="3"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9" fillId="3" borderId="22" xfId="0" applyFont="1" applyFill="1" applyBorder="1" applyAlignment="1">
      <alignment horizontal="center" vertical="center" wrapText="1"/>
    </xf>
    <xf numFmtId="9" fontId="17" fillId="4" borderId="4" xfId="0" applyNumberFormat="1" applyFont="1" applyFill="1" applyBorder="1" applyAlignment="1">
      <alignment horizontal="center" vertical="center" wrapText="1"/>
    </xf>
    <xf numFmtId="0" fontId="32" fillId="0" borderId="0" xfId="37" applyFont="1" applyAlignment="1">
      <alignment horizontal="center" vertical="center" wrapText="1"/>
    </xf>
    <xf numFmtId="0" fontId="34" fillId="5" borderId="0" xfId="37" applyFont="1" applyFill="1" applyAlignment="1">
      <alignment horizontal="left" vertical="center" wrapText="1"/>
    </xf>
    <xf numFmtId="0" fontId="34" fillId="5" borderId="0" xfId="38" applyFont="1" applyFill="1" applyBorder="1" applyAlignment="1" applyProtection="1">
      <alignment horizontal="left" vertical="center" wrapText="1"/>
    </xf>
    <xf numFmtId="0" fontId="35" fillId="5" borderId="0" xfId="37" applyFont="1" applyFill="1" applyAlignment="1">
      <alignment horizontal="center" vertical="center" wrapText="1"/>
    </xf>
    <xf numFmtId="0" fontId="35" fillId="5" borderId="0" xfId="37" applyFont="1" applyFill="1" applyAlignment="1">
      <alignment horizontal="left" vertical="center" wrapText="1"/>
    </xf>
    <xf numFmtId="0" fontId="38" fillId="5" borderId="0" xfId="38" applyFont="1" applyFill="1" applyBorder="1" applyAlignment="1" applyProtection="1">
      <alignment horizontal="center" vertical="center" wrapText="1"/>
    </xf>
    <xf numFmtId="0" fontId="35" fillId="5" borderId="0" xfId="38" applyFont="1" applyFill="1" applyBorder="1" applyAlignment="1" applyProtection="1">
      <alignment horizontal="center" vertical="center" wrapText="1"/>
    </xf>
    <xf numFmtId="0" fontId="18" fillId="6" borderId="70" xfId="37" applyFont="1" applyFill="1" applyBorder="1" applyAlignment="1">
      <alignment horizontal="center" vertical="center" wrapText="1"/>
    </xf>
    <xf numFmtId="0" fontId="18" fillId="6" borderId="69" xfId="37" applyFont="1" applyFill="1" applyBorder="1" applyAlignment="1">
      <alignment horizontal="center" vertical="center" wrapText="1"/>
    </xf>
    <xf numFmtId="0" fontId="18" fillId="6" borderId="71" xfId="37" applyFont="1" applyFill="1" applyBorder="1" applyAlignment="1">
      <alignment horizontal="center" vertical="center" wrapText="1"/>
    </xf>
    <xf numFmtId="0" fontId="18" fillId="6" borderId="72" xfId="37" applyFont="1" applyFill="1" applyBorder="1" applyAlignment="1">
      <alignment horizontal="center" vertical="center" wrapText="1"/>
    </xf>
    <xf numFmtId="0" fontId="18" fillId="6" borderId="76" xfId="37" applyFont="1" applyFill="1" applyBorder="1" applyAlignment="1">
      <alignment horizontal="center" vertical="center" wrapText="1"/>
    </xf>
    <xf numFmtId="0" fontId="32" fillId="5" borderId="0" xfId="37" applyFont="1" applyFill="1" applyAlignment="1">
      <alignment horizontal="center" vertical="center" wrapText="1"/>
    </xf>
    <xf numFmtId="0" fontId="35" fillId="5" borderId="0" xfId="37" applyFont="1" applyFill="1" applyAlignment="1">
      <alignment vertical="center" wrapText="1"/>
    </xf>
    <xf numFmtId="0" fontId="24" fillId="5" borderId="43" xfId="37" applyFont="1" applyFill="1" applyBorder="1" applyAlignment="1">
      <alignment horizontal="center" vertical="center"/>
    </xf>
    <xf numFmtId="0" fontId="24" fillId="5" borderId="44" xfId="37" applyFont="1" applyFill="1" applyBorder="1" applyAlignment="1">
      <alignment horizontal="center" vertical="center"/>
    </xf>
    <xf numFmtId="0" fontId="24" fillId="5" borderId="65" xfId="37" applyFont="1" applyFill="1" applyBorder="1" applyAlignment="1">
      <alignment horizontal="center" vertical="center"/>
    </xf>
    <xf numFmtId="0" fontId="30" fillId="0" borderId="43" xfId="37" applyFont="1" applyBorder="1" applyAlignment="1">
      <alignment horizontal="center" vertical="center" wrapText="1"/>
    </xf>
    <xf numFmtId="0" fontId="30" fillId="0" borderId="44" xfId="37" applyFont="1" applyBorder="1" applyAlignment="1">
      <alignment horizontal="center" vertical="center" wrapText="1"/>
    </xf>
    <xf numFmtId="0" fontId="30" fillId="0" borderId="65" xfId="37" applyFont="1" applyBorder="1" applyAlignment="1">
      <alignment horizontal="center" vertical="center" wrapText="1"/>
    </xf>
    <xf numFmtId="0" fontId="18" fillId="6" borderId="73" xfId="37" applyFont="1" applyFill="1" applyBorder="1" applyAlignment="1">
      <alignment horizontal="center" vertical="center" wrapText="1"/>
    </xf>
    <xf numFmtId="0" fontId="18" fillId="6" borderId="74" xfId="37" applyFont="1" applyFill="1" applyBorder="1" applyAlignment="1">
      <alignment horizontal="center" vertical="center" wrapText="1"/>
    </xf>
    <xf numFmtId="0" fontId="18" fillId="6" borderId="75" xfId="37" applyFont="1" applyFill="1" applyBorder="1" applyAlignment="1">
      <alignment horizontal="center" vertical="center" wrapText="1"/>
    </xf>
    <xf numFmtId="0" fontId="32" fillId="0" borderId="0" xfId="37" applyFont="1" applyAlignment="1">
      <alignment horizontal="left" vertical="center" wrapText="1"/>
    </xf>
    <xf numFmtId="0" fontId="32" fillId="5" borderId="0" xfId="37" applyFont="1" applyFill="1" applyAlignment="1">
      <alignment vertical="center" wrapText="1"/>
    </xf>
    <xf numFmtId="0" fontId="22" fillId="6" borderId="4" xfId="0" applyFont="1" applyFill="1" applyBorder="1" applyAlignment="1">
      <alignment horizontal="center" vertical="center"/>
    </xf>
    <xf numFmtId="0" fontId="22" fillId="6" borderId="5" xfId="0" applyFont="1" applyFill="1" applyBorder="1" applyAlignment="1">
      <alignment horizontal="center" vertical="center"/>
    </xf>
    <xf numFmtId="0" fontId="24" fillId="5" borderId="0" xfId="0" applyFont="1" applyFill="1" applyAlignment="1">
      <alignment horizontal="center" vertical="center"/>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7" fillId="5" borderId="10" xfId="0" applyFont="1" applyFill="1" applyBorder="1" applyAlignment="1">
      <alignment horizontal="left" vertical="center"/>
    </xf>
    <xf numFmtId="0" fontId="7" fillId="5" borderId="21" xfId="0" applyFont="1" applyFill="1" applyBorder="1" applyAlignment="1">
      <alignment horizontal="left" vertical="center"/>
    </xf>
    <xf numFmtId="0" fontId="22" fillId="6" borderId="11" xfId="0" applyFont="1" applyFill="1" applyBorder="1" applyAlignment="1">
      <alignment horizontal="left" vertical="center"/>
    </xf>
    <xf numFmtId="0" fontId="22" fillId="6" borderId="12" xfId="0" applyFont="1" applyFill="1" applyBorder="1" applyAlignment="1">
      <alignment horizontal="left" vertical="center"/>
    </xf>
    <xf numFmtId="0" fontId="22" fillId="6" borderId="55" xfId="0" applyFont="1" applyFill="1" applyBorder="1" applyAlignment="1">
      <alignment horizontal="center" vertical="center" wrapText="1"/>
    </xf>
    <xf numFmtId="0" fontId="22" fillId="6" borderId="64" xfId="0" applyFont="1" applyFill="1" applyBorder="1" applyAlignment="1">
      <alignment horizontal="center" vertical="center" wrapText="1"/>
    </xf>
    <xf numFmtId="0" fontId="22" fillId="6" borderId="57" xfId="0" applyFont="1" applyFill="1" applyBorder="1" applyAlignment="1">
      <alignment horizontal="center" vertical="center" wrapText="1"/>
    </xf>
  </cellXfs>
  <cellStyles count="118">
    <cellStyle name="Cabecera 1" xfId="1" xr:uid="{00000000-0005-0000-0000-000000000000}"/>
    <cellStyle name="Cabecera 2" xfId="2" xr:uid="{00000000-0005-0000-0000-000001000000}"/>
    <cellStyle name="Comma" xfId="80" xr:uid="{00000000-0005-0000-0000-000002000000}"/>
    <cellStyle name="Comma [0]_PIB" xfId="3" xr:uid="{00000000-0005-0000-0000-000003000000}"/>
    <cellStyle name="Comma 10" xfId="51" xr:uid="{8318CF81-E49D-4FBF-8646-854A079562CE}"/>
    <cellStyle name="Comma 14" xfId="45" xr:uid="{FC50B95C-E0DC-4B6A-A490-F60639989F05}"/>
    <cellStyle name="Comma 14 2" xfId="89" xr:uid="{5EFA0D9B-91A7-4815-B616-315AB3EE765B}"/>
    <cellStyle name="Comma 14 2 2" xfId="114" xr:uid="{0CDE4948-5AFF-4E4E-B9D3-688985CBB348}"/>
    <cellStyle name="Comma 15" xfId="54" xr:uid="{DE0CFA08-5665-423A-8544-76473FA60A97}"/>
    <cellStyle name="Comma 15 2" xfId="91" xr:uid="{0EE65ED1-D3FE-4B29-8C74-C995A5A9EFB1}"/>
    <cellStyle name="Comma 16" xfId="55" xr:uid="{F4AD69A5-8171-4E7F-AF4E-F89975868045}"/>
    <cellStyle name="Comma 16 2" xfId="92" xr:uid="{8743E669-3F3B-4DF6-8548-C76FF5EA3154}"/>
    <cellStyle name="Comma 17" xfId="64" xr:uid="{A4B3EA5B-1797-4B67-B12F-EA52372FA9EC}"/>
    <cellStyle name="Comma 17 2" xfId="99" xr:uid="{AEC7649F-2F5C-4ED9-BB43-CA5234AA6756}"/>
    <cellStyle name="Comma 18" xfId="65" xr:uid="{F7D8A706-4C77-4C6B-92E7-1BD46B1D2106}"/>
    <cellStyle name="Comma 18 2" xfId="100" xr:uid="{DDBA64FE-30DA-4C87-9DCB-EF93D279EAD0}"/>
    <cellStyle name="Comma 2" xfId="43" xr:uid="{3070DF40-697F-49BD-A3A0-E4BAE7B3E634}"/>
    <cellStyle name="Comma 24" xfId="66" xr:uid="{166C7059-1CCC-4908-A553-3A441C7D8A78}"/>
    <cellStyle name="Comma 24 2" xfId="101" xr:uid="{9B0EDDBE-A313-4892-93FF-3AE87F97A7E2}"/>
    <cellStyle name="Comma 26" xfId="76" xr:uid="{43E306C4-9C9E-48C1-981F-BCC1A716E0A0}"/>
    <cellStyle name="Comma 28" xfId="77" xr:uid="{56646589-47C5-413E-B899-30357C0A04E4}"/>
    <cellStyle name="Comma 28 2" xfId="109" xr:uid="{6C1E06C9-7B3B-468B-A361-6344404DCE17}"/>
    <cellStyle name="Comma 29" xfId="78" xr:uid="{5A1CC2EB-2A28-44C7-BD17-C3AEB1704470}"/>
    <cellStyle name="Comma 3" xfId="42" xr:uid="{CC588508-7B84-4DFB-A2D9-B785D33FB560}"/>
    <cellStyle name="Comma 3 2" xfId="88" xr:uid="{F3DEA404-1D87-4447-B497-41E088EDB74F}"/>
    <cellStyle name="Comma 4" xfId="63" xr:uid="{D89F3263-9CC6-44EF-B735-04FA309BD1BF}"/>
    <cellStyle name="Comma 4 2" xfId="98" xr:uid="{A061AADA-8415-4BBC-9602-0328AF401261}"/>
    <cellStyle name="Comma 5" xfId="110" xr:uid="{316404E0-1DE9-4164-A7F5-FCD7BE46BA67}"/>
    <cellStyle name="Comma 6" xfId="111" xr:uid="{4C2B6A00-13FD-4C10-9F70-4F65D9E86227}"/>
    <cellStyle name="Comma_confisGOBjul2500" xfId="4" xr:uid="{00000000-0005-0000-0000-000004000000}"/>
    <cellStyle name="Comma0" xfId="5" xr:uid="{00000000-0005-0000-0000-000005000000}"/>
    <cellStyle name="Currency" xfId="6" xr:uid="{00000000-0005-0000-0000-000006000000}"/>
    <cellStyle name="Currency [0]_PIB" xfId="7" xr:uid="{00000000-0005-0000-0000-000007000000}"/>
    <cellStyle name="Currency 5" xfId="59" xr:uid="{A8D5EA15-1BC6-4314-9F79-71A00BC2B1C4}"/>
    <cellStyle name="Currency 5 2" xfId="95" xr:uid="{8843E382-57B3-4691-A198-F85FCF75D8A3}"/>
    <cellStyle name="Currency_confisGOBjul2500" xfId="8" xr:uid="{00000000-0005-0000-0000-000008000000}"/>
    <cellStyle name="Currency0" xfId="9" xr:uid="{00000000-0005-0000-0000-000009000000}"/>
    <cellStyle name="Date" xfId="10" xr:uid="{00000000-0005-0000-0000-00000A000000}"/>
    <cellStyle name="Euro" xfId="11" xr:uid="{00000000-0005-0000-0000-00000B000000}"/>
    <cellStyle name="Fecha" xfId="12" xr:uid="{00000000-0005-0000-0000-00000C000000}"/>
    <cellStyle name="Fijo" xfId="13" xr:uid="{00000000-0005-0000-0000-00000D000000}"/>
    <cellStyle name="Fixed" xfId="14" xr:uid="{00000000-0005-0000-0000-00000E000000}"/>
    <cellStyle name="Heading 1" xfId="15" xr:uid="{00000000-0005-0000-0000-00000F000000}"/>
    <cellStyle name="Heading 2" xfId="16" xr:uid="{00000000-0005-0000-0000-000010000000}"/>
    <cellStyle name="Heading1" xfId="17" xr:uid="{00000000-0005-0000-0000-000011000000}"/>
    <cellStyle name="Heading2" xfId="18" xr:uid="{00000000-0005-0000-0000-000012000000}"/>
    <cellStyle name="Hipervínculo" xfId="38" builtinId="8"/>
    <cellStyle name="Hipervínculo 2" xfId="58" xr:uid="{3E6C5DE2-4E3B-4414-AC19-883257FE95A7}"/>
    <cellStyle name="Hipervínculo 3" xfId="44" xr:uid="{F480FD95-0F88-4F78-9FDD-55A440C74879}"/>
    <cellStyle name="Hipervínculo 4" xfId="79" xr:uid="{4C467628-BCDC-4FB3-A7D9-68E502C09770}"/>
    <cellStyle name="Millares [0] 2" xfId="57" xr:uid="{EDBB72DD-BB29-4DFD-A5EE-8DE9274F18F4}"/>
    <cellStyle name="Millares [0] 2 2" xfId="94" xr:uid="{B31059FE-BA20-4203-8BA9-24858ACBFF95}"/>
    <cellStyle name="Millares [0] 3" xfId="73" xr:uid="{D2DD3E99-428D-4926-8C95-DCB14F33B9C8}"/>
    <cellStyle name="Millares [0] 3 2" xfId="106" xr:uid="{DAB74021-BF6F-4DB2-8B60-8B4BF7E1A48E}"/>
    <cellStyle name="Millares 10" xfId="47" xr:uid="{42B037D7-3999-43DE-A154-AB0D16137D66}"/>
    <cellStyle name="Millares 12" xfId="50" xr:uid="{1F3780EF-57A6-461F-B91E-DAD8FC2A0DA8}"/>
    <cellStyle name="Millares 15" xfId="52" xr:uid="{D3BED311-A337-44D7-A9EC-BA9E2F013C86}"/>
    <cellStyle name="Millares 16" xfId="53" xr:uid="{1DE0DDCE-08F5-4193-AE69-2B6DC8A1D23F}"/>
    <cellStyle name="Millares 17" xfId="67" xr:uid="{7AFA8175-C0D8-437E-A337-9D937F25A07C}"/>
    <cellStyle name="Millares 2" xfId="49" xr:uid="{4888043B-0881-49E8-A130-325B7ED18261}"/>
    <cellStyle name="Millares 2 2" xfId="90" xr:uid="{5BB8734A-2359-4F6E-91B6-6400368B325D}"/>
    <cellStyle name="Millares 3" xfId="74" xr:uid="{82292675-2882-4A41-87DF-7D409EF5D833}"/>
    <cellStyle name="Millares 3 2" xfId="107" xr:uid="{607B1430-6A08-435A-AD39-B9089732E616}"/>
    <cellStyle name="Millares 4" xfId="61" xr:uid="{17AB00B9-C52D-4AB5-BB17-8753DEBB1CF3}"/>
    <cellStyle name="Millares 4 2" xfId="97" xr:uid="{766E5226-6989-4ECA-B74A-56CC7B106DBD}"/>
    <cellStyle name="Millares 5" xfId="75" xr:uid="{EE6EA5D2-75E5-45CA-BB3E-C4BFE4009F7B}"/>
    <cellStyle name="Millares 5 2" xfId="108" xr:uid="{E20FFC5B-2BC3-44E7-89F9-ACE0770D65CC}"/>
    <cellStyle name="Millares 6" xfId="70" xr:uid="{63A5763E-04DA-4504-A156-8E69F486D1B7}"/>
    <cellStyle name="Millares 6 2" xfId="103" xr:uid="{1A34030F-7408-4548-9FC4-060D583B2508}"/>
    <cellStyle name="Moneda" xfId="82" builtinId="4"/>
    <cellStyle name="Moneda [0]" xfId="112" builtinId="7"/>
    <cellStyle name="Moneda [0] 2" xfId="62" xr:uid="{710E0CC8-A65D-4874-A842-61715F347361}"/>
    <cellStyle name="Moneda 2" xfId="60" xr:uid="{A1681685-7445-478A-BAC3-28A77872E5F8}"/>
    <cellStyle name="Moneda 2 2" xfId="96" xr:uid="{C9878B76-6B97-4F95-B9B2-1C6DEAFD1CE2}"/>
    <cellStyle name="Moneda 3" xfId="113" xr:uid="{79796286-9B8E-4A14-BB9D-AC27B0339E98}"/>
    <cellStyle name="Moneda 4" xfId="115" xr:uid="{97EA8E93-2F5D-4CDC-A635-B5EAE0906ACE}"/>
    <cellStyle name="Moneda 5" xfId="116" xr:uid="{79DBAA3C-691D-47B8-90A0-AF0FC5631041}"/>
    <cellStyle name="Moneda 7" xfId="117" xr:uid="{9609210C-7429-4D90-BCAC-0CCDC42ECB11}"/>
    <cellStyle name="Monetario" xfId="19" xr:uid="{00000000-0005-0000-0000-000015000000}"/>
    <cellStyle name="Monetario0" xfId="20" xr:uid="{00000000-0005-0000-0000-000016000000}"/>
    <cellStyle name="Normal" xfId="0" builtinId="0"/>
    <cellStyle name="Normal 2" xfId="36" xr:uid="{00000000-0005-0000-0000-000018000000}"/>
    <cellStyle name="Normal 2 2" xfId="41" xr:uid="{5AA9EF07-97BC-4117-8BF2-6EE19A7DA858}"/>
    <cellStyle name="Normal 2 2 2" xfId="87" xr:uid="{97CF08D3-FB3C-4D11-BE24-6F90EEC2C889}"/>
    <cellStyle name="Normal 2 3" xfId="71" xr:uid="{0CF1DBD4-99C0-45F0-A219-61236B4E50DA}"/>
    <cellStyle name="Normal 2 3 2" xfId="104" xr:uid="{580B4462-0C8F-4CB2-8425-EB7BA0B19F7A}"/>
    <cellStyle name="Normal 2 4" xfId="85" xr:uid="{4C2EB52C-E88D-4282-A669-FB54F0484139}"/>
    <cellStyle name="Normal 3" xfId="39" xr:uid="{00000000-0005-0000-0000-000056000000}"/>
    <cellStyle name="Normal 3 2" xfId="72" xr:uid="{66302596-88B7-4D7E-B1E4-8D27355198C9}"/>
    <cellStyle name="Normal 3 2 2" xfId="105" xr:uid="{64069BB4-24CA-476C-AC98-F235B8D8C840}"/>
    <cellStyle name="Normal 3 3" xfId="86" xr:uid="{0B206EB0-F59D-4803-96CE-3E279C15F8F9}"/>
    <cellStyle name="Normal 4" xfId="56" xr:uid="{FAC82482-9465-4886-9B86-030D3DDA71A1}"/>
    <cellStyle name="Normal 4 2" xfId="93" xr:uid="{255A931C-ABDE-4CDD-A1D7-D17B9A52A4D9}"/>
    <cellStyle name="Normal 7" xfId="37" xr:uid="{00000000-0005-0000-0000-000019000000}"/>
    <cellStyle name="Percent" xfId="81" xr:uid="{00000000-0005-0000-0000-00001A000000}"/>
    <cellStyle name="Percent 2" xfId="46" xr:uid="{1042E428-B130-4652-A6B8-D4334F6055A7}"/>
    <cellStyle name="Percent 3" xfId="48" xr:uid="{B26465A4-6CB6-4BE7-AC0E-1829BEC967ED}"/>
    <cellStyle name="Porcentaje" xfId="83" builtinId="5"/>
    <cellStyle name="Porcentaje 2" xfId="40" xr:uid="{F428F0ED-9E0F-49B1-A703-F2C0363C252C}"/>
    <cellStyle name="Punto" xfId="21" xr:uid="{00000000-0005-0000-0000-00001C000000}"/>
    <cellStyle name="Punto0" xfId="22" xr:uid="{00000000-0005-0000-0000-00001D000000}"/>
    <cellStyle name="Punto0 2" xfId="68" xr:uid="{D038D7EE-68C1-478E-97D4-86D50F251615}"/>
    <cellStyle name="Punto0 2 2" xfId="102" xr:uid="{57C3D8E6-C7D4-4E17-B870-C4E82F3604ED}"/>
    <cellStyle name="Punto0 3" xfId="84" xr:uid="{263EAC78-9A9D-45D6-A3EC-733A13CB31AD}"/>
    <cellStyle name="Resumen" xfId="23" xr:uid="{00000000-0005-0000-0000-00001E000000}"/>
    <cellStyle name="Resumen 2" xfId="69" xr:uid="{E4DBD84B-89D0-47F9-9A8B-721EABB24E2A}"/>
    <cellStyle name="Text" xfId="24" xr:uid="{00000000-0005-0000-0000-00001F000000}"/>
    <cellStyle name="Total" xfId="25" builtinId="25" customBuiltin="1"/>
    <cellStyle name="ДАТА" xfId="26" xr:uid="{00000000-0005-0000-0000-000021000000}"/>
    <cellStyle name="ДЕНЕЖНЫЙ_BOPENGC" xfId="27" xr:uid="{00000000-0005-0000-0000-000022000000}"/>
    <cellStyle name="ЗАГОЛОВОК1" xfId="28" xr:uid="{00000000-0005-0000-0000-000023000000}"/>
    <cellStyle name="ЗАГОЛОВОК2" xfId="29" xr:uid="{00000000-0005-0000-0000-000024000000}"/>
    <cellStyle name="ИТОГОВЫЙ" xfId="30" xr:uid="{00000000-0005-0000-0000-000025000000}"/>
    <cellStyle name="Обычный_BOPENGC" xfId="31" xr:uid="{00000000-0005-0000-0000-000026000000}"/>
    <cellStyle name="ПРОЦЕНТНЫЙ_BOPENGC" xfId="32" xr:uid="{00000000-0005-0000-0000-000027000000}"/>
    <cellStyle name="ТЕКСТ" xfId="33" xr:uid="{00000000-0005-0000-0000-000028000000}"/>
    <cellStyle name="ФИКСИРОВАННЫЙ" xfId="34" xr:uid="{00000000-0005-0000-0000-000029000000}"/>
    <cellStyle name="ФИНАНСОВЫЙ_BOPENGC" xfId="35" xr:uid="{00000000-0005-0000-0000-00002A000000}"/>
  </cellStyles>
  <dxfs count="0"/>
  <tableStyles count="0" defaultTableStyle="TableStyleMedium9" defaultPivotStyle="PivotStyleLight16"/>
  <colors>
    <mruColors>
      <color rgb="FFD60093"/>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4.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1</xdr:row>
      <xdr:rowOff>179455</xdr:rowOff>
    </xdr:from>
    <xdr:to>
      <xdr:col>3</xdr:col>
      <xdr:colOff>18529</xdr:colOff>
      <xdr:row>1</xdr:row>
      <xdr:rowOff>593586</xdr:rowOff>
    </xdr:to>
    <xdr:pic>
      <xdr:nvPicPr>
        <xdr:cNvPr id="4" name="Imagen 4">
          <a:extLst>
            <a:ext uri="{FF2B5EF4-FFF2-40B4-BE49-F238E27FC236}">
              <a16:creationId xmlns:a16="http://schemas.microsoft.com/office/drawing/2014/main" id="{94409954-649A-40BE-9E2B-5B759A38D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8537" y="289890"/>
          <a:ext cx="1939231"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2383</xdr:colOff>
      <xdr:row>0</xdr:row>
      <xdr:rowOff>113180</xdr:rowOff>
    </xdr:from>
    <xdr:ext cx="2102641" cy="319775"/>
    <xdr:pic>
      <xdr:nvPicPr>
        <xdr:cNvPr id="2" name="Imagen 4">
          <a:extLst>
            <a:ext uri="{FF2B5EF4-FFF2-40B4-BE49-F238E27FC236}">
              <a16:creationId xmlns:a16="http://schemas.microsoft.com/office/drawing/2014/main" id="{5846CEFC-B3EF-4424-9828-5441810A8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7633" y="113180"/>
          <a:ext cx="2102641" cy="3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G%20Gobi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ricar/Downloads/2022-04-08%20PAS%20Equidad%20de%20G&#233;nero_VDiscus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Plan acción seguimiento"/>
      <sheetName val="Indicadores de Resultado (IR)"/>
      <sheetName val="Lista de chequeo"/>
      <sheetName val="Instrucciones PAS"/>
      <sheetName val="Desplegables"/>
    </sheetNames>
    <sheetDataSet>
      <sheetData sheetId="0"/>
      <sheetData sheetId="1"/>
      <sheetData sheetId="2"/>
      <sheetData sheetId="3"/>
      <sheetData sheetId="4">
        <row r="3">
          <cell r="B3" t="str">
            <v>Flujo</v>
          </cell>
        </row>
        <row r="5">
          <cell r="B5" t="str">
            <v>Reducción</v>
          </cell>
        </row>
        <row r="6">
          <cell r="B6" t="str">
            <v>Reducción acumulada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8">
          <cell r="Y8"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2">
          <cell r="Z12" t="str">
            <v>(1)</v>
          </cell>
          <cell r="AA12" t="str">
            <v>(2)</v>
          </cell>
          <cell r="AB12" t="str">
            <v>(3)</v>
          </cell>
          <cell r="AC12" t="str">
            <v>(4)=(2/1)</v>
          </cell>
          <cell r="AD12"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8">
          <cell r="Y18" t="str">
            <v>Operación Comercial</v>
          </cell>
          <cell r="Z18">
            <v>0.1</v>
          </cell>
          <cell r="AA18">
            <v>2.9483000000000001</v>
          </cell>
          <cell r="AB18">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5">
          <cell r="Y25" t="str">
            <v>Interna   2/</v>
          </cell>
          <cell r="Z25">
            <v>8713.4544279999991</v>
          </cell>
          <cell r="AA25">
            <v>9697.9</v>
          </cell>
          <cell r="AB25">
            <v>10739</v>
          </cell>
          <cell r="AC25">
            <v>11.297994155298063</v>
          </cell>
          <cell r="AD25">
            <v>10.735313830829352</v>
          </cell>
        </row>
        <row r="26">
          <cell r="Y26" t="str">
            <v>INVERSION</v>
          </cell>
          <cell r="Z26">
            <v>5073.7929515019996</v>
          </cell>
          <cell r="AA26">
            <v>5147.2</v>
          </cell>
          <cell r="AB26">
            <v>3166.3</v>
          </cell>
          <cell r="AC26">
            <v>1.4467884125281438</v>
          </cell>
          <cell r="AD26">
            <v>-38.485001554243084</v>
          </cell>
        </row>
        <row r="27">
          <cell r="Y27" t="str">
            <v>INVERSION</v>
          </cell>
          <cell r="Z27">
            <v>5073.7929515019996</v>
          </cell>
          <cell r="AA27">
            <v>5147.2</v>
          </cell>
          <cell r="AB27">
            <v>3166.3</v>
          </cell>
          <cell r="AC27">
            <v>1.4467884125281438</v>
          </cell>
          <cell r="AD27">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0">
          <cell r="Y30" t="str">
            <v>TOTAL SIN DEUDA</v>
          </cell>
          <cell r="Z30">
            <v>22581.409993345005</v>
          </cell>
          <cell r="AA30">
            <v>27691.102873841002</v>
          </cell>
          <cell r="AB30">
            <v>25915.087354500003</v>
          </cell>
          <cell r="AC30">
            <v>22.627873467608438</v>
          </cell>
          <cell r="AD30">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3">
          <cell r="Y33" t="str">
            <v>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39">
          <cell r="Y39"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4">
          <cell r="Z44" t="str">
            <v>(1)</v>
          </cell>
          <cell r="AA44" t="str">
            <v>(2)</v>
          </cell>
          <cell r="AB44" t="str">
            <v>(3)</v>
          </cell>
          <cell r="AC44" t="str">
            <v>(4)=(2/1)</v>
          </cell>
          <cell r="AD44"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0">
          <cell r="Y50" t="str">
            <v>Operación Comercial</v>
          </cell>
          <cell r="Z50">
            <v>297.30740401700001</v>
          </cell>
          <cell r="AA50">
            <v>206.054391686</v>
          </cell>
          <cell r="AB50">
            <v>281.24733361599999</v>
          </cell>
          <cell r="AC50">
            <v>-30.693151632975201</v>
          </cell>
          <cell r="AD50">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4">
          <cell r="Y54" t="str">
            <v>Interna</v>
          </cell>
          <cell r="Z54">
            <v>21.520985289999999</v>
          </cell>
          <cell r="AA54">
            <v>15.292944167</v>
          </cell>
          <cell r="AB54">
            <v>10.053000000000001</v>
          </cell>
          <cell r="AC54">
            <v>-28.939386552594026</v>
          </cell>
          <cell r="AD54">
            <v>-34.263802376961884</v>
          </cell>
        </row>
        <row r="55">
          <cell r="Y55" t="str">
            <v>INVERSION</v>
          </cell>
          <cell r="Z55">
            <v>2235.8472710000001</v>
          </cell>
          <cell r="AA55">
            <v>2660.3020459999998</v>
          </cell>
          <cell r="AB55">
            <v>2333.1673000000001</v>
          </cell>
          <cell r="AC55">
            <v>18.984068388989694</v>
          </cell>
          <cell r="AD55">
            <v>-12.296902394668896</v>
          </cell>
        </row>
        <row r="56">
          <cell r="Y56" t="str">
            <v>INVERSION</v>
          </cell>
          <cell r="Z56">
            <v>2235.8472710000001</v>
          </cell>
          <cell r="AA56">
            <v>2660.3020459999998</v>
          </cell>
          <cell r="AB56">
            <v>2333.1673000000001</v>
          </cell>
          <cell r="AC56">
            <v>18.984068388989694</v>
          </cell>
          <cell r="AD56">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2">
          <cell r="Y62" t="str">
            <v>TOTAL SIN DEUDA</v>
          </cell>
          <cell r="Z62">
            <v>3895.2206948209996</v>
          </cell>
          <cell r="AA62">
            <v>4262.915433404999</v>
          </cell>
          <cell r="AB62">
            <v>3743.8683276040001</v>
          </cell>
          <cell r="AC62">
            <v>9.439638146122963</v>
          </cell>
          <cell r="AD62">
            <v>-12.175871511164615</v>
          </cell>
        </row>
        <row r="63">
          <cell r="Y63" t="str">
            <v>CUADRO No. 1</v>
          </cell>
        </row>
        <row r="64">
          <cell r="Y64" t="str">
            <v>APROPIACIONES 1998 - 2000</v>
          </cell>
        </row>
        <row r="65">
          <cell r="Y65" t="str">
            <v>TOTAL</v>
          </cell>
        </row>
        <row r="66">
          <cell r="Y66" t="str">
            <v>Miles de millones de pesos</v>
          </cell>
        </row>
        <row r="68">
          <cell r="Y68"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2">
          <cell r="Z72" t="str">
            <v>(1)</v>
          </cell>
          <cell r="AA72" t="str">
            <v>(2)</v>
          </cell>
          <cell r="AB72" t="str">
            <v>(3)</v>
          </cell>
          <cell r="AC72" t="str">
            <v>(4)=(2/1)</v>
          </cell>
          <cell r="AD72" t="str">
            <v>(5)=(3/2)</v>
          </cell>
        </row>
        <row r="73">
          <cell r="Y73" t="str">
            <v>FUNCIONAMIENTO</v>
          </cell>
          <cell r="Z73">
            <v>19166.990465664006</v>
          </cell>
          <cell r="AA73">
            <v>24146.516261246001</v>
          </cell>
          <cell r="AB73">
            <v>24159.488382104002</v>
          </cell>
          <cell r="AC73">
            <v>25.979695688284398</v>
          </cell>
          <cell r="AD73">
            <v>5.3722535862532617E-2</v>
          </cell>
        </row>
        <row r="74">
          <cell r="Y74" t="str">
            <v>FUNCIONAMIENTO</v>
          </cell>
          <cell r="Z74">
            <v>19166.990465664006</v>
          </cell>
          <cell r="AA74">
            <v>24146.516261246001</v>
          </cell>
          <cell r="AB74">
            <v>24159.488382104002</v>
          </cell>
          <cell r="AC74">
            <v>25.979695688284398</v>
          </cell>
          <cell r="AD74">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79">
          <cell r="Y79" t="str">
            <v>Operación Comercial</v>
          </cell>
          <cell r="Z79">
            <v>297.40740401700003</v>
          </cell>
          <cell r="AA79">
            <v>209.00269168599999</v>
          </cell>
          <cell r="AB79">
            <v>284.53468811599998</v>
          </cell>
          <cell r="AC79">
            <v>-29.72512154604825</v>
          </cell>
          <cell r="AD79">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6">
          <cell r="Y86" t="str">
            <v>Interna   2/</v>
          </cell>
          <cell r="Z86">
            <v>8734.9754132899998</v>
          </cell>
          <cell r="AA86">
            <v>9713.192944167</v>
          </cell>
          <cell r="AB86">
            <v>10749.053</v>
          </cell>
          <cell r="AC86">
            <v>11.198858435121316</v>
          </cell>
          <cell r="AD86">
            <v>10.664464937403073</v>
          </cell>
        </row>
        <row r="87">
          <cell r="Y87" t="str">
            <v xml:space="preserve">INVERSION </v>
          </cell>
          <cell r="Z87">
            <v>7309.6402225019992</v>
          </cell>
          <cell r="AA87">
            <v>7807.5020459999996</v>
          </cell>
          <cell r="AB87">
            <v>5499.4673000000003</v>
          </cell>
          <cell r="AC87">
            <v>6.8110304795218513</v>
          </cell>
          <cell r="AD87">
            <v>-29.561756531110607</v>
          </cell>
        </row>
        <row r="88">
          <cell r="Y88" t="str">
            <v>INVERSION</v>
          </cell>
          <cell r="Z88">
            <v>7309.6402225019992</v>
          </cell>
          <cell r="AA88">
            <v>7807.5020459999996</v>
          </cell>
          <cell r="AB88">
            <v>5499.4673000000003</v>
          </cell>
          <cell r="AC88">
            <v>6.8110304795218513</v>
          </cell>
          <cell r="AD88">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1">
          <cell r="Y91" t="str">
            <v>TOTAL SIN DEUDA</v>
          </cell>
          <cell r="Z91">
            <v>26476.630688166002</v>
          </cell>
          <cell r="AA91">
            <v>31954.018307246002</v>
          </cell>
          <cell r="AB91">
            <v>29658.955682104002</v>
          </cell>
          <cell r="AC91">
            <v>20.687630853000382</v>
          </cell>
          <cell r="AD91">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arbocol"/>
      <sheetName val="CODE LIST"/>
      <sheetName val="RESUOPE"/>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gheidygallo@presidencia.gov.co" TargetMode="External"/><Relationship Id="rId21" Type="http://schemas.openxmlformats.org/officeDocument/2006/relationships/hyperlink" Target="mailto:asaer@minambiente.gov.co" TargetMode="External"/><Relationship Id="rId42" Type="http://schemas.openxmlformats.org/officeDocument/2006/relationships/hyperlink" Target="mailto:ehyder.barbosa@uaeos.gov.co" TargetMode="External"/><Relationship Id="rId63" Type="http://schemas.openxmlformats.org/officeDocument/2006/relationships/hyperlink" Target="mailto:masalazar@registraduria.gov.co" TargetMode="External"/><Relationship Id="rId84" Type="http://schemas.openxmlformats.org/officeDocument/2006/relationships/hyperlink" Target="mailto:gbermont@Minsalud.gov.co" TargetMode="External"/><Relationship Id="rId138" Type="http://schemas.openxmlformats.org/officeDocument/2006/relationships/hyperlink" Target="mailto:khflorezs@minambiente.gov.co" TargetMode="External"/><Relationship Id="rId159" Type="http://schemas.openxmlformats.org/officeDocument/2006/relationships/hyperlink" Target="mailto:maria.silva@ansv.gov.co" TargetMode="External"/><Relationship Id="rId170" Type="http://schemas.openxmlformats.org/officeDocument/2006/relationships/hyperlink" Target="mailto:disec.jefat@policia.gov.co" TargetMode="External"/><Relationship Id="rId107" Type="http://schemas.openxmlformats.org/officeDocument/2006/relationships/hyperlink" Target="mailto:csantos@minvivienda.gov.co" TargetMode="External"/><Relationship Id="rId11" Type="http://schemas.openxmlformats.org/officeDocument/2006/relationships/hyperlink" Target="mailto:gheidygallo@presidencia.gov.co" TargetMode="External"/><Relationship Id="rId32" Type="http://schemas.openxmlformats.org/officeDocument/2006/relationships/hyperlink" Target="mailto:gheidygallo@presidencia.gov.co" TargetMode="External"/><Relationship Id="rId53" Type="http://schemas.openxmlformats.org/officeDocument/2006/relationships/hyperlink" Target="mailto:jrestrepo@finagro.com.co" TargetMode="External"/><Relationship Id="rId74" Type="http://schemas.openxmlformats.org/officeDocument/2006/relationships/hyperlink" Target="mailto:Gbermont@minsalud.gov.co" TargetMode="External"/><Relationship Id="rId128" Type="http://schemas.openxmlformats.org/officeDocument/2006/relationships/hyperlink" Target="mailto:wilson.silva@prosperidadsocial.gov.co" TargetMode="External"/><Relationship Id="rId149" Type="http://schemas.openxmlformats.org/officeDocument/2006/relationships/hyperlink" Target="mailto:hernando.londono@renovacionterritorio.gov.co" TargetMode="External"/><Relationship Id="rId5" Type="http://schemas.openxmlformats.org/officeDocument/2006/relationships/hyperlink" Target="mailto:gheidygallo@presidencia.gov.co" TargetMode="External"/><Relationship Id="rId95" Type="http://schemas.openxmlformats.org/officeDocument/2006/relationships/hyperlink" Target="mailto:gheidygallo@presidencia.gov.co" TargetMode="External"/><Relationship Id="rId160" Type="http://schemas.openxmlformats.org/officeDocument/2006/relationships/hyperlink" Target="mailto:mpmoreno@minenergia.gov.co" TargetMode="External"/><Relationship Id="rId22" Type="http://schemas.openxmlformats.org/officeDocument/2006/relationships/hyperlink" Target="mailto:mfranco@ani.gov.co" TargetMode="External"/><Relationship Id="rId43" Type="http://schemas.openxmlformats.org/officeDocument/2006/relationships/hyperlink" Target="mailto:ijlagos@superfinanciera.gov.co" TargetMode="External"/><Relationship Id="rId64" Type="http://schemas.openxmlformats.org/officeDocument/2006/relationships/hyperlink" Target="mailto:fcamargo@funcionpublica.gov.co" TargetMode="External"/><Relationship Id="rId118" Type="http://schemas.openxmlformats.org/officeDocument/2006/relationships/hyperlink" Target="mailto:Damaturana@mindeporte.gov.co" TargetMode="External"/><Relationship Id="rId139" Type="http://schemas.openxmlformats.org/officeDocument/2006/relationships/hyperlink" Target="mailto:sergio.ramirez@minagricultura.gov.co" TargetMode="External"/><Relationship Id="rId85" Type="http://schemas.openxmlformats.org/officeDocument/2006/relationships/hyperlink" Target="mailto:gbermont@Minsalud.gov.co" TargetMode="External"/><Relationship Id="rId150" Type="http://schemas.openxmlformats.org/officeDocument/2006/relationships/hyperlink" Target="mailto:marcela.lopera@restituciondetierras.gov.co" TargetMode="External"/><Relationship Id="rId171" Type="http://schemas.openxmlformats.org/officeDocument/2006/relationships/hyperlink" Target="mailto:gheidygallo@presidencia.gov.co" TargetMode="External"/><Relationship Id="rId12" Type="http://schemas.openxmlformats.org/officeDocument/2006/relationships/hyperlink" Target="mailto:Diego.llanos@minjusticia.gov.co" TargetMode="External"/><Relationship Id="rId33" Type="http://schemas.openxmlformats.org/officeDocument/2006/relationships/hyperlink" Target="mailto:hperez@funcionpublica.gov.co" TargetMode="External"/><Relationship Id="rId108" Type="http://schemas.openxmlformats.org/officeDocument/2006/relationships/hyperlink" Target="mailto:mfardila@mintic.gov.co" TargetMode="External"/><Relationship Id="rId129" Type="http://schemas.openxmlformats.org/officeDocument/2006/relationships/hyperlink" Target="mailto:monica.peinado@prosperidadsocial.gov.co%20/%20lida.moreno@prosperidadsocial.gov.co" TargetMode="External"/><Relationship Id="rId54" Type="http://schemas.openxmlformats.org/officeDocument/2006/relationships/hyperlink" Target="mailto:jose.esinel@bancoagrario.gov.cotatiana.gutierrrez" TargetMode="External"/><Relationship Id="rId75" Type="http://schemas.openxmlformats.org/officeDocument/2006/relationships/hyperlink" Target="mailto:Gbermont@minsalud.gov.co" TargetMode="External"/><Relationship Id="rId96" Type="http://schemas.openxmlformats.org/officeDocument/2006/relationships/hyperlink" Target="mailto:gheidygallo@presidencia.gov.co" TargetMode="External"/><Relationship Id="rId140" Type="http://schemas.openxmlformats.org/officeDocument/2006/relationships/hyperlink" Target="mailto:sergio.ramirez@minagricultura.gov.co" TargetMode="External"/><Relationship Id="rId161" Type="http://schemas.openxmlformats.org/officeDocument/2006/relationships/hyperlink" Target="mailto:gisellpugliese@presidencia.gov.co" TargetMode="External"/><Relationship Id="rId1" Type="http://schemas.openxmlformats.org/officeDocument/2006/relationships/hyperlink" Target="mailto:jrlinero@minciencias.gov.co" TargetMode="External"/><Relationship Id="rId6" Type="http://schemas.openxmlformats.org/officeDocument/2006/relationships/hyperlink" Target="mailto:obermudezj@sena.edu.co" TargetMode="External"/><Relationship Id="rId23" Type="http://schemas.openxmlformats.org/officeDocument/2006/relationships/hyperlink" Target="mailto:mfranco@ani.gov.co" TargetMode="External"/><Relationship Id="rId28" Type="http://schemas.openxmlformats.org/officeDocument/2006/relationships/hyperlink" Target="mailto:gisellepugliese@presidencia.gov.co" TargetMode="External"/><Relationship Id="rId49" Type="http://schemas.openxmlformats.org/officeDocument/2006/relationships/hyperlink" Target="mailto:jose.esinel@bancoagrario.gov.cotatiana.gutierrrez" TargetMode="External"/><Relationship Id="rId114" Type="http://schemas.openxmlformats.org/officeDocument/2006/relationships/hyperlink" Target="mailto:luis.duarte@minagricultura.gov.co" TargetMode="External"/><Relationship Id="rId119" Type="http://schemas.openxmlformats.org/officeDocument/2006/relationships/hyperlink" Target="mailto:mgutierrez@prosperidadsocial.gov.co" TargetMode="External"/><Relationship Id="rId44" Type="http://schemas.openxmlformats.org/officeDocument/2006/relationships/hyperlink" Target="mailto:earredondo@minvivienda.gov.co" TargetMode="External"/><Relationship Id="rId60" Type="http://schemas.openxmlformats.org/officeDocument/2006/relationships/hyperlink" Target="mailto:gina.perez@minagricultura.gov.co" TargetMode="External"/><Relationship Id="rId65" Type="http://schemas.openxmlformats.org/officeDocument/2006/relationships/hyperlink" Target="mailto:masalazar@registraduria.gov.co" TargetMode="External"/><Relationship Id="rId81" Type="http://schemas.openxmlformats.org/officeDocument/2006/relationships/hyperlink" Target="mailto:Gbermont@minsalud.gov.co" TargetMode="External"/><Relationship Id="rId86" Type="http://schemas.openxmlformats.org/officeDocument/2006/relationships/hyperlink" Target="mailto:kbaquero@minsalud.gov.co" TargetMode="External"/><Relationship Id="rId130" Type="http://schemas.openxmlformats.org/officeDocument/2006/relationships/hyperlink" Target="mailto:jubernal@dnp.gov.co" TargetMode="External"/><Relationship Id="rId135" Type="http://schemas.openxmlformats.org/officeDocument/2006/relationships/hyperlink" Target="mailto:trivero@agrosavia.co" TargetMode="External"/><Relationship Id="rId151" Type="http://schemas.openxmlformats.org/officeDocument/2006/relationships/hyperlink" Target="mailto:alexander.jaimes@mininterior.gov.co" TargetMode="External"/><Relationship Id="rId156" Type="http://schemas.openxmlformats.org/officeDocument/2006/relationships/hyperlink" Target="mailto:Moposso@mindeporte.gov.co" TargetMode="External"/><Relationship Id="rId172" Type="http://schemas.openxmlformats.org/officeDocument/2006/relationships/hyperlink" Target="mailto:cguzmanr@mineducacion.gov.co" TargetMode="External"/><Relationship Id="rId13" Type="http://schemas.openxmlformats.org/officeDocument/2006/relationships/hyperlink" Target="mailto:jevargas@mineducacion.gov.co" TargetMode="External"/><Relationship Id="rId18" Type="http://schemas.openxmlformats.org/officeDocument/2006/relationships/hyperlink" Target="mailto:dmsarmiento@sena.edu.co" TargetMode="External"/><Relationship Id="rId39" Type="http://schemas.openxmlformats.org/officeDocument/2006/relationships/hyperlink" Target="mailto:gina.perez@minagricultura.gov.co" TargetMode="External"/><Relationship Id="rId109" Type="http://schemas.openxmlformats.org/officeDocument/2006/relationships/hyperlink" Target="mailto:jdroldan@mintransporte.gov.co" TargetMode="External"/><Relationship Id="rId34" Type="http://schemas.openxmlformats.org/officeDocument/2006/relationships/hyperlink" Target="mailto:gheidygallo@presidencia.gov.co" TargetMode="External"/><Relationship Id="rId50" Type="http://schemas.openxmlformats.org/officeDocument/2006/relationships/hyperlink" Target="mailto:Jhon.restrepo@aunap.gov.co" TargetMode="External"/><Relationship Id="rId55" Type="http://schemas.openxmlformats.org/officeDocument/2006/relationships/hyperlink" Target="mailto:oscar.perez@adr.gov.co" TargetMode="External"/><Relationship Id="rId76" Type="http://schemas.openxmlformats.org/officeDocument/2006/relationships/hyperlink" Target="mailto:Damaturana@mindeporte.gov.co" TargetMode="External"/><Relationship Id="rId97" Type="http://schemas.openxmlformats.org/officeDocument/2006/relationships/hyperlink" Target="mailto:gheidygallo@presidencia.gov.co" TargetMode="External"/><Relationship Id="rId104" Type="http://schemas.openxmlformats.org/officeDocument/2006/relationships/hyperlink" Target="mailto:hernando.londono@renovacionterritorio.gov.co" TargetMode="External"/><Relationship Id="rId120" Type="http://schemas.openxmlformats.org/officeDocument/2006/relationships/hyperlink" Target="mailto:cmgomez@mineducacion.gov.co" TargetMode="External"/><Relationship Id="rId125" Type="http://schemas.openxmlformats.org/officeDocument/2006/relationships/hyperlink" Target="mailto:maritza.barrera@serviciodeempleo.gov.co" TargetMode="External"/><Relationship Id="rId141" Type="http://schemas.openxmlformats.org/officeDocument/2006/relationships/hyperlink" Target="mailto:obermudezj@sena.edu.co" TargetMode="External"/><Relationship Id="rId146" Type="http://schemas.openxmlformats.org/officeDocument/2006/relationships/hyperlink" Target="mailto:adrianalopez@reincorporacion.gov.co" TargetMode="External"/><Relationship Id="rId167" Type="http://schemas.openxmlformats.org/officeDocument/2006/relationships/hyperlink" Target="mailto:masalazar@registraduria.gov.co" TargetMode="External"/><Relationship Id="rId7" Type="http://schemas.openxmlformats.org/officeDocument/2006/relationships/hyperlink" Target="mailto:gheidygallo@presidencia.gov.co" TargetMode="External"/><Relationship Id="rId71" Type="http://schemas.openxmlformats.org/officeDocument/2006/relationships/hyperlink" Target="mailto:juan.gonzalezp@mininterior.gov.co" TargetMode="External"/><Relationship Id="rId92" Type="http://schemas.openxmlformats.org/officeDocument/2006/relationships/hyperlink" Target="mailto:apenuela@minsalud.gov.co" TargetMode="External"/><Relationship Id="rId162" Type="http://schemas.openxmlformats.org/officeDocument/2006/relationships/hyperlink" Target="mailto:mcamelo@minsalud.gov.co" TargetMode="External"/><Relationship Id="rId2" Type="http://schemas.openxmlformats.org/officeDocument/2006/relationships/hyperlink" Target="mailto:jevargas@mineducacion.gov.co" TargetMode="External"/><Relationship Id="rId29" Type="http://schemas.openxmlformats.org/officeDocument/2006/relationships/hyperlink" Target="mailto:csantos@minvivienda.gov.co" TargetMode="External"/><Relationship Id="rId24" Type="http://schemas.openxmlformats.org/officeDocument/2006/relationships/hyperlink" Target="mailto:mpmoreno@minenergia.gov.co" TargetMode="External"/><Relationship Id="rId40" Type="http://schemas.openxmlformats.org/officeDocument/2006/relationships/hyperlink" Target="mailto:ricardo.ramirez@crcom.gov.co" TargetMode="External"/><Relationship Id="rId45" Type="http://schemas.openxmlformats.org/officeDocument/2006/relationships/hyperlink" Target="mailto:monica.peinado@prosperidadsocial.gov.co" TargetMode="External"/><Relationship Id="rId66" Type="http://schemas.openxmlformats.org/officeDocument/2006/relationships/hyperlink" Target="mailto:jacqueline.suarez@mininterior.gov.co" TargetMode="External"/><Relationship Id="rId87" Type="http://schemas.openxmlformats.org/officeDocument/2006/relationships/hyperlink" Target="mailto:ecadena@minsalud.gov.co" TargetMode="External"/><Relationship Id="rId110" Type="http://schemas.openxmlformats.org/officeDocument/2006/relationships/hyperlink" Target="mailto:Karen.pineda@mindefensa.gov.co" TargetMode="External"/><Relationship Id="rId115" Type="http://schemas.openxmlformats.org/officeDocument/2006/relationships/hyperlink" Target="mailto:eva.valencia@unidadvictimas" TargetMode="External"/><Relationship Id="rId131" Type="http://schemas.openxmlformats.org/officeDocument/2006/relationships/hyperlink" Target="mailto:jacobo.nader@ant.gov.co" TargetMode="External"/><Relationship Id="rId136" Type="http://schemas.openxmlformats.org/officeDocument/2006/relationships/hyperlink" Target="mailto:sergio.velasquez@adr.gov.co" TargetMode="External"/><Relationship Id="rId157" Type="http://schemas.openxmlformats.org/officeDocument/2006/relationships/hyperlink" Target="mailto:gvargas@funcionpublica.gov.co" TargetMode="External"/><Relationship Id="rId61" Type="http://schemas.openxmlformats.org/officeDocument/2006/relationships/hyperlink" Target="mailto:gina.perez@minagricultura.gov.co" TargetMode="External"/><Relationship Id="rId82" Type="http://schemas.openxmlformats.org/officeDocument/2006/relationships/hyperlink" Target="mailto:Gbermont@minsalud.gov.co" TargetMode="External"/><Relationship Id="rId152" Type="http://schemas.openxmlformats.org/officeDocument/2006/relationships/hyperlink" Target="mailto:kagarciar@dane.gov.co" TargetMode="External"/><Relationship Id="rId173" Type="http://schemas.openxmlformats.org/officeDocument/2006/relationships/hyperlink" Target="mailto:cguzmanr@mineducacion.gov.co" TargetMode="External"/><Relationship Id="rId19" Type="http://schemas.openxmlformats.org/officeDocument/2006/relationships/hyperlink" Target="mailto:oriomana@mintrabajo.gov.co/%3Clarboleda@mintrabajo.gov.co%3E" TargetMode="External"/><Relationship Id="rId14" Type="http://schemas.openxmlformats.org/officeDocument/2006/relationships/hyperlink" Target="mailto:mfardila@mintic.gov.co" TargetMode="External"/><Relationship Id="rId30" Type="http://schemas.openxmlformats.org/officeDocument/2006/relationships/hyperlink" Target="mailto:brasilia.romero@prosperidadsocial.gov.co" TargetMode="External"/><Relationship Id="rId35" Type="http://schemas.openxmlformats.org/officeDocument/2006/relationships/hyperlink" Target="mailto:jubernal@dnp.gov.co" TargetMode="External"/><Relationship Id="rId56" Type="http://schemas.openxmlformats.org/officeDocument/2006/relationships/hyperlink" Target="mailto:trivero@agrosavia.co" TargetMode="External"/><Relationship Id="rId77" Type="http://schemas.openxmlformats.org/officeDocument/2006/relationships/hyperlink" Target="mailto:Gbermont@minsalud.gov.co" TargetMode="External"/><Relationship Id="rId100" Type="http://schemas.openxmlformats.org/officeDocument/2006/relationships/hyperlink" Target="mailto:Karen.pineda@mindefensa.gov.co" TargetMode="External"/><Relationship Id="rId105" Type="http://schemas.openxmlformats.org/officeDocument/2006/relationships/hyperlink" Target="mailto:gheidygallo@presidencia.gov.co" TargetMode="External"/><Relationship Id="rId126" Type="http://schemas.openxmlformats.org/officeDocument/2006/relationships/hyperlink" Target="mailto:maritza.barrera@serviciodeempleo.gov.co" TargetMode="External"/><Relationship Id="rId147" Type="http://schemas.openxmlformats.org/officeDocument/2006/relationships/hyperlink" Target="mailto:hernando.londono@renovacionterritorio.gov.co" TargetMode="External"/><Relationship Id="rId168" Type="http://schemas.openxmlformats.org/officeDocument/2006/relationships/hyperlink" Target="mailto:gheidygallo@presidencia.gov.co" TargetMode="External"/><Relationship Id="rId8" Type="http://schemas.openxmlformats.org/officeDocument/2006/relationships/hyperlink" Target="mailto:gheidygallo@presidencia.gov.co" TargetMode="External"/><Relationship Id="rId51" Type="http://schemas.openxmlformats.org/officeDocument/2006/relationships/hyperlink" Target="mailto:jose.esinel@bancoagrario.gov.cotatiana.gutierrrez" TargetMode="External"/><Relationship Id="rId72" Type="http://schemas.openxmlformats.org/officeDocument/2006/relationships/hyperlink" Target="mailto:juan.gonzalezp@mininterior.gov.co" TargetMode="External"/><Relationship Id="rId93" Type="http://schemas.openxmlformats.org/officeDocument/2006/relationships/hyperlink" Target="mailto:gheidygallo@presidencia.gov.co" TargetMode="External"/><Relationship Id="rId98" Type="http://schemas.openxmlformats.org/officeDocument/2006/relationships/hyperlink" Target="mailto:gheidygallo@presidencia.gov.co" TargetMode="External"/><Relationship Id="rId121" Type="http://schemas.openxmlformats.org/officeDocument/2006/relationships/hyperlink" Target="mailto:cmolinar@mineducacion.gov.co" TargetMode="External"/><Relationship Id="rId142" Type="http://schemas.openxmlformats.org/officeDocument/2006/relationships/hyperlink" Target="mailto:luis.duarte@minagricultura.gov.co" TargetMode="External"/><Relationship Id="rId163" Type="http://schemas.openxmlformats.org/officeDocument/2006/relationships/hyperlink" Target="mailto:kagarciar@dane.gov.co" TargetMode="External"/><Relationship Id="rId3" Type="http://schemas.openxmlformats.org/officeDocument/2006/relationships/hyperlink" Target="mailto:msarmientoc@mintrabajo.gov.co" TargetMode="External"/><Relationship Id="rId25" Type="http://schemas.openxmlformats.org/officeDocument/2006/relationships/hyperlink" Target="mailto:Damaturana@mindeporte.gov.co" TargetMode="External"/><Relationship Id="rId46" Type="http://schemas.openxmlformats.org/officeDocument/2006/relationships/hyperlink" Target="mailto:hbahamon@minvivienda.gov.co" TargetMode="External"/><Relationship Id="rId67" Type="http://schemas.openxmlformats.org/officeDocument/2006/relationships/hyperlink" Target="mailto:jacqueline.suarez@mininterior.gov.co" TargetMode="External"/><Relationship Id="rId116" Type="http://schemas.openxmlformats.org/officeDocument/2006/relationships/hyperlink" Target="mailto:mireya.martin@minjusticia.gov.co" TargetMode="External"/><Relationship Id="rId137" Type="http://schemas.openxmlformats.org/officeDocument/2006/relationships/hyperlink" Target="mailto:gina.perez@minagricultura.gov.co" TargetMode="External"/><Relationship Id="rId158" Type="http://schemas.openxmlformats.org/officeDocument/2006/relationships/hyperlink" Target="mailto:gisellpugliese@presidencia.gov.co" TargetMode="External"/><Relationship Id="rId20" Type="http://schemas.openxmlformats.org/officeDocument/2006/relationships/hyperlink" Target="mailto:gheidygallo@presidencia.gov.co" TargetMode="External"/><Relationship Id="rId41" Type="http://schemas.openxmlformats.org/officeDocument/2006/relationships/hyperlink" Target="mailto:sacero@mincit.gov.co" TargetMode="External"/><Relationship Id="rId62" Type="http://schemas.openxmlformats.org/officeDocument/2006/relationships/hyperlink" Target="mailto:jacqueline.suarez@mininterior.gov.co" TargetMode="External"/><Relationship Id="rId83" Type="http://schemas.openxmlformats.org/officeDocument/2006/relationships/hyperlink" Target="mailto:gbermont@Minsalud.gov.co" TargetMode="External"/><Relationship Id="rId88" Type="http://schemas.openxmlformats.org/officeDocument/2006/relationships/hyperlink" Target="mailto:gheidygallo@presidencia.gov.co" TargetMode="External"/><Relationship Id="rId111" Type="http://schemas.openxmlformats.org/officeDocument/2006/relationships/hyperlink" Target="mailto:Diego.llanos@minjusticia.gov.co" TargetMode="External"/><Relationship Id="rId132" Type="http://schemas.openxmlformats.org/officeDocument/2006/relationships/hyperlink" Target="mailto:patricia.abadia@adr.gov.co" TargetMode="External"/><Relationship Id="rId153" Type="http://schemas.openxmlformats.org/officeDocument/2006/relationships/hyperlink" Target="mailto:kagarciar@dane.gov.co" TargetMode="External"/><Relationship Id="rId174" Type="http://schemas.openxmlformats.org/officeDocument/2006/relationships/hyperlink" Target="mailto:cmgomez@mineducacion.gov.co" TargetMode="External"/><Relationship Id="rId15" Type="http://schemas.openxmlformats.org/officeDocument/2006/relationships/hyperlink" Target="mailto:gheidygallo@presidencia.gov.co" TargetMode="External"/><Relationship Id="rId36" Type="http://schemas.openxmlformats.org/officeDocument/2006/relationships/hyperlink" Target="mailto:oromero@dnp.gov.co" TargetMode="External"/><Relationship Id="rId57" Type="http://schemas.openxmlformats.org/officeDocument/2006/relationships/hyperlink" Target="mailto:trivero@agrosavia.co" TargetMode="External"/><Relationship Id="rId106" Type="http://schemas.openxmlformats.org/officeDocument/2006/relationships/hyperlink" Target="mailto:gheidygallo@presidencia.gov.co" TargetMode="External"/><Relationship Id="rId127" Type="http://schemas.openxmlformats.org/officeDocument/2006/relationships/hyperlink" Target="mailto:lfmartinezv@sena.edu.co" TargetMode="External"/><Relationship Id="rId10" Type="http://schemas.openxmlformats.org/officeDocument/2006/relationships/hyperlink" Target="mailto:Diego.llanos@minjusticia.gov.co" TargetMode="External"/><Relationship Id="rId31" Type="http://schemas.openxmlformats.org/officeDocument/2006/relationships/hyperlink" Target="mailto:adrianalopez@reincorporacion.gov.co" TargetMode="External"/><Relationship Id="rId52" Type="http://schemas.openxmlformats.org/officeDocument/2006/relationships/hyperlink" Target="mailto:jrestrepo@finagro.com.co" TargetMode="External"/><Relationship Id="rId73" Type="http://schemas.openxmlformats.org/officeDocument/2006/relationships/hyperlink" Target="mailto:mgutierrez@prosperidadsocial.gov.co" TargetMode="External"/><Relationship Id="rId78" Type="http://schemas.openxmlformats.org/officeDocument/2006/relationships/hyperlink" Target="mailto:Gbermont@minsalud.gov.co" TargetMode="External"/><Relationship Id="rId94" Type="http://schemas.openxmlformats.org/officeDocument/2006/relationships/hyperlink" Target="mailto:chiguerg@cendoj.ramajudicial.gov.co" TargetMode="External"/><Relationship Id="rId99" Type="http://schemas.openxmlformats.org/officeDocument/2006/relationships/hyperlink" Target="mailto:nataliamelendez@presidencia.gov.co" TargetMode="External"/><Relationship Id="rId101" Type="http://schemas.openxmlformats.org/officeDocument/2006/relationships/hyperlink" Target="mailto:Karen.pineda@mindefensa.gov.co" TargetMode="External"/><Relationship Id="rId122" Type="http://schemas.openxmlformats.org/officeDocument/2006/relationships/hyperlink" Target="mailto:cbocampo@minciencias.gov.co" TargetMode="External"/><Relationship Id="rId143" Type="http://schemas.openxmlformats.org/officeDocument/2006/relationships/hyperlink" Target="mailto:gina.perez@minagricultura.gov.co" TargetMode="External"/><Relationship Id="rId148" Type="http://schemas.openxmlformats.org/officeDocument/2006/relationships/hyperlink" Target="mailto:hernando.londono@renovacionterritorio.gov.co" TargetMode="External"/><Relationship Id="rId164" Type="http://schemas.openxmlformats.org/officeDocument/2006/relationships/hyperlink" Target="mailto:alexander.jaimes@mininterior.gov.co" TargetMode="External"/><Relationship Id="rId169" Type="http://schemas.openxmlformats.org/officeDocument/2006/relationships/hyperlink" Target="mailto:gheidygallo@presidencia.gov.co" TargetMode="External"/><Relationship Id="rId4" Type="http://schemas.openxmlformats.org/officeDocument/2006/relationships/hyperlink" Target="mailto:aalvarezc@mintrabajo.gov.co" TargetMode="External"/><Relationship Id="rId9" Type="http://schemas.openxmlformats.org/officeDocument/2006/relationships/hyperlink" Target="mailto:fcamargo@funcionpublica.gov.co" TargetMode="External"/><Relationship Id="rId26" Type="http://schemas.openxmlformats.org/officeDocument/2006/relationships/hyperlink" Target="mailto:magudelov@mintrabajo.gov.co" TargetMode="External"/><Relationship Id="rId47" Type="http://schemas.openxmlformats.org/officeDocument/2006/relationships/hyperlink" Target="mailto:jdiaz@minvivienda.gov.co" TargetMode="External"/><Relationship Id="rId68" Type="http://schemas.openxmlformats.org/officeDocument/2006/relationships/hyperlink" Target="mailto:jacqueline.suarez@mininterior.gov.co" TargetMode="External"/><Relationship Id="rId89" Type="http://schemas.openxmlformats.org/officeDocument/2006/relationships/hyperlink" Target="mailto:oscar.perez@adr.gov.co" TargetMode="External"/><Relationship Id="rId112" Type="http://schemas.openxmlformats.org/officeDocument/2006/relationships/hyperlink" Target="mailto:mfardila@mintic.gov.co" TargetMode="External"/><Relationship Id="rId133" Type="http://schemas.openxmlformats.org/officeDocument/2006/relationships/hyperlink" Target="mailto:jevargas@mineducacion.gov.co" TargetMode="External"/><Relationship Id="rId154" Type="http://schemas.openxmlformats.org/officeDocument/2006/relationships/hyperlink" Target="mailto:vvanegas@dnp.gov.co" TargetMode="External"/><Relationship Id="rId175" Type="http://schemas.openxmlformats.org/officeDocument/2006/relationships/printerSettings" Target="../printerSettings/printerSettings1.bin"/><Relationship Id="rId16" Type="http://schemas.openxmlformats.org/officeDocument/2006/relationships/hyperlink" Target="mailto:cmgomez@mineducacion.gov.co" TargetMode="External"/><Relationship Id="rId37" Type="http://schemas.openxmlformats.org/officeDocument/2006/relationships/hyperlink" Target="mailto:asaer@minambiente.gov.co" TargetMode="External"/><Relationship Id="rId58" Type="http://schemas.openxmlformats.org/officeDocument/2006/relationships/hyperlink" Target="mailto:trivero@agrosavia.co" TargetMode="External"/><Relationship Id="rId79" Type="http://schemas.openxmlformats.org/officeDocument/2006/relationships/hyperlink" Target="mailto:Gbermont@minsalud.gov.co" TargetMode="External"/><Relationship Id="rId102" Type="http://schemas.openxmlformats.org/officeDocument/2006/relationships/hyperlink" Target="mailto:Fabio.Canchila@renovacionterritorio.gov.co" TargetMode="External"/><Relationship Id="rId123" Type="http://schemas.openxmlformats.org/officeDocument/2006/relationships/hyperlink" Target="mailto:aalbarracinp@mintrabajo.gov.co" TargetMode="External"/><Relationship Id="rId144" Type="http://schemas.openxmlformats.org/officeDocument/2006/relationships/hyperlink" Target="mailto:brasilia.romero@prosperidadsocial.gov.co" TargetMode="External"/><Relationship Id="rId90" Type="http://schemas.openxmlformats.org/officeDocument/2006/relationships/hyperlink" Target="mailto:gheidygallo@presidencia.gov.co" TargetMode="External"/><Relationship Id="rId165" Type="http://schemas.openxmlformats.org/officeDocument/2006/relationships/hyperlink" Target="mailto:gheidygallo@presidencia.gov.co" TargetMode="External"/><Relationship Id="rId27" Type="http://schemas.openxmlformats.org/officeDocument/2006/relationships/hyperlink" Target="mailto:masalazar@registraduria.gov.co" TargetMode="External"/><Relationship Id="rId48" Type="http://schemas.openxmlformats.org/officeDocument/2006/relationships/hyperlink" Target="mailto:jacobo.nader@ant.gov.co" TargetMode="External"/><Relationship Id="rId69" Type="http://schemas.openxmlformats.org/officeDocument/2006/relationships/hyperlink" Target="mailto:juan.gonzalezp@mininterior.gov.co" TargetMode="External"/><Relationship Id="rId113" Type="http://schemas.openxmlformats.org/officeDocument/2006/relationships/hyperlink" Target="mailto:yperilla@mindeporte.gov.co" TargetMode="External"/><Relationship Id="rId134" Type="http://schemas.openxmlformats.org/officeDocument/2006/relationships/hyperlink" Target="mailto:sebastian.ortiz@adr.gov.co" TargetMode="External"/><Relationship Id="rId80" Type="http://schemas.openxmlformats.org/officeDocument/2006/relationships/hyperlink" Target="mailto:Gbermont@minsalud.gov.co" TargetMode="External"/><Relationship Id="rId155" Type="http://schemas.openxmlformats.org/officeDocument/2006/relationships/hyperlink" Target="mailto:gheidygallo@presidencia.gov.co" TargetMode="External"/><Relationship Id="rId176" Type="http://schemas.openxmlformats.org/officeDocument/2006/relationships/drawing" Target="../drawings/drawing1.xml"/><Relationship Id="rId17" Type="http://schemas.openxmlformats.org/officeDocument/2006/relationships/hyperlink" Target="mailto:ayparra@sena.edu.co" TargetMode="External"/><Relationship Id="rId38" Type="http://schemas.openxmlformats.org/officeDocument/2006/relationships/hyperlink" Target="mailto:gina.perez@minagricultura.gov.co" TargetMode="External"/><Relationship Id="rId59" Type="http://schemas.openxmlformats.org/officeDocument/2006/relationships/hyperlink" Target="mailto:gina.perez@minagricultura.gov.co" TargetMode="External"/><Relationship Id="rId103" Type="http://schemas.openxmlformats.org/officeDocument/2006/relationships/hyperlink" Target="mailto:hernando.londono@renovacionterritorio.gov.co" TargetMode="External"/><Relationship Id="rId124" Type="http://schemas.openxmlformats.org/officeDocument/2006/relationships/hyperlink" Target="mailto:maria.silva@ansv.gov.co" TargetMode="External"/><Relationship Id="rId70" Type="http://schemas.openxmlformats.org/officeDocument/2006/relationships/hyperlink" Target="mailto:juan.gonzalezp@mininterior.gov.co" TargetMode="External"/><Relationship Id="rId91" Type="http://schemas.openxmlformats.org/officeDocument/2006/relationships/hyperlink" Target="mailto:gheidygallo@presidencia.gov.co" TargetMode="External"/><Relationship Id="rId145" Type="http://schemas.openxmlformats.org/officeDocument/2006/relationships/hyperlink" Target="mailto:hernando.londono@renovacionterritorio.gov.co" TargetMode="External"/><Relationship Id="rId166" Type="http://schemas.openxmlformats.org/officeDocument/2006/relationships/hyperlink" Target="mailto:gheidygallo@presidenci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N246"/>
  <sheetViews>
    <sheetView showGridLines="0" tabSelected="1" zoomScale="70" zoomScaleNormal="70" zoomScaleSheetLayoutView="20" zoomScalePageLayoutView="35" workbookViewId="0">
      <selection activeCell="D3" sqref="D3"/>
    </sheetView>
  </sheetViews>
  <sheetFormatPr baseColWidth="10" defaultColWidth="10.85546875" defaultRowHeight="15.75"/>
  <cols>
    <col min="1" max="1" width="1.42578125" style="16" customWidth="1"/>
    <col min="2" max="2" width="14.28515625" style="19" customWidth="1"/>
    <col min="3" max="3" width="14.7109375" style="20" customWidth="1"/>
    <col min="4" max="4" width="53.85546875" style="19" customWidth="1"/>
    <col min="5" max="5" width="12.28515625" style="19" customWidth="1"/>
    <col min="6" max="6" width="12" style="19" customWidth="1"/>
    <col min="7" max="10" width="23.7109375" style="19" customWidth="1"/>
    <col min="11" max="11" width="12.7109375" style="19" customWidth="1"/>
    <col min="12" max="12" width="13.140625" style="19" customWidth="1"/>
    <col min="13" max="13" width="12.85546875" style="19" customWidth="1"/>
    <col min="14" max="14" width="41.140625" style="19" customWidth="1"/>
    <col min="15" max="15" width="74.42578125" style="19" customWidth="1"/>
    <col min="16" max="16" width="11.42578125" style="19" customWidth="1"/>
    <col min="17" max="28" width="12.42578125" style="19" customWidth="1"/>
    <col min="29" max="29" width="15.7109375" style="21" customWidth="1"/>
    <col min="30" max="30" width="14.7109375" style="21" customWidth="1"/>
    <col min="31" max="37" width="14.28515625" style="21" customWidth="1"/>
    <col min="38" max="38" width="16.140625" style="21" customWidth="1"/>
    <col min="39" max="74" width="15.42578125" style="19" customWidth="1"/>
    <col min="75" max="75" width="18.7109375" style="19" customWidth="1"/>
    <col min="76" max="76" width="16.28515625" style="19" bestFit="1" customWidth="1"/>
    <col min="77" max="77" width="19" style="19" customWidth="1"/>
    <col min="78" max="78" width="14.140625" style="19" customWidth="1"/>
    <col min="79" max="79" width="15.28515625" style="19" customWidth="1"/>
    <col min="80" max="80" width="14.140625" style="19" customWidth="1"/>
    <col min="81" max="81" width="9.85546875" style="19" customWidth="1"/>
    <col min="82" max="83" width="15.28515625" style="19" customWidth="1"/>
    <col min="84" max="84" width="19" style="19" customWidth="1"/>
    <col min="85" max="85" width="14.140625" style="19" customWidth="1"/>
    <col min="86" max="86" width="15.28515625" style="19" customWidth="1"/>
    <col min="87" max="87" width="14.140625" style="19" customWidth="1"/>
    <col min="88" max="88" width="9.85546875" style="19" customWidth="1"/>
    <col min="89" max="90" width="15.28515625" style="19" customWidth="1"/>
    <col min="91" max="91" width="19" style="19" customWidth="1"/>
    <col min="92" max="92" width="14.140625" style="19" customWidth="1"/>
    <col min="93" max="93" width="15.28515625" style="19" customWidth="1"/>
    <col min="94" max="94" width="14.140625" style="19" customWidth="1"/>
    <col min="95" max="95" width="9.85546875" style="19" customWidth="1"/>
    <col min="96" max="97" width="15.28515625" style="19" customWidth="1"/>
    <col min="98" max="98" width="19" style="19" customWidth="1"/>
    <col min="99" max="99" width="14.140625" style="19" customWidth="1"/>
    <col min="100" max="100" width="15.28515625" style="19" customWidth="1"/>
    <col min="101" max="101" width="14.140625" style="19" customWidth="1"/>
    <col min="102" max="102" width="9.85546875" style="19" customWidth="1"/>
    <col min="103" max="104" width="15.28515625" style="19" customWidth="1"/>
    <col min="105" max="105" width="19" style="19" customWidth="1"/>
    <col min="106" max="106" width="14.140625" style="19" customWidth="1"/>
    <col min="107" max="107" width="15.28515625" style="19" customWidth="1"/>
    <col min="108" max="108" width="14.140625" style="19" customWidth="1"/>
    <col min="109" max="109" width="9.85546875" style="19" customWidth="1"/>
    <col min="110" max="111" width="15.28515625" style="19" customWidth="1"/>
    <col min="112" max="112" width="19" style="19" customWidth="1"/>
    <col min="113" max="113" width="14.140625" style="19" customWidth="1"/>
    <col min="114" max="114" width="15.28515625" style="19" customWidth="1"/>
    <col min="115" max="115" width="14.140625" style="19" customWidth="1"/>
    <col min="116" max="116" width="9.85546875" style="19" customWidth="1"/>
    <col min="117" max="118" width="15.28515625" style="19" customWidth="1"/>
    <col min="119" max="16384" width="10.85546875" style="19"/>
  </cols>
  <sheetData>
    <row r="1" spans="2:118" s="16" customFormat="1" ht="9" customHeight="1" thickBot="1">
      <c r="C1" s="17"/>
      <c r="AC1" s="18"/>
      <c r="AD1" s="18"/>
      <c r="AE1" s="18"/>
      <c r="AF1" s="18"/>
      <c r="AG1" s="18"/>
      <c r="AH1" s="18"/>
      <c r="AI1" s="18"/>
      <c r="AJ1" s="18"/>
      <c r="AK1" s="18"/>
      <c r="AL1" s="18"/>
    </row>
    <row r="2" spans="2:118" ht="53.25" customHeight="1" thickBot="1">
      <c r="B2" s="39"/>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row>
    <row r="3" spans="2:118" ht="21" customHeight="1">
      <c r="B3" s="71" t="s">
        <v>0</v>
      </c>
      <c r="C3" s="72"/>
      <c r="D3" s="267" t="s">
        <v>1454</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row>
    <row r="4" spans="2:118" ht="21" customHeight="1">
      <c r="B4" s="50" t="s">
        <v>1</v>
      </c>
      <c r="C4" s="51"/>
      <c r="D4" s="51">
        <v>4080</v>
      </c>
      <c r="E4" s="65"/>
      <c r="F4" s="66"/>
      <c r="G4" s="75" t="s">
        <v>2</v>
      </c>
      <c r="H4" s="51"/>
      <c r="I4" s="64">
        <v>44669</v>
      </c>
      <c r="J4" s="67"/>
      <c r="K4" s="75" t="s">
        <v>3</v>
      </c>
      <c r="L4" s="51"/>
      <c r="M4" s="51"/>
      <c r="N4" s="64"/>
      <c r="O4" s="64"/>
      <c r="P4" s="64"/>
      <c r="Q4" s="64"/>
      <c r="R4" s="63"/>
      <c r="S4" s="68" t="s">
        <v>4</v>
      </c>
      <c r="T4" s="68"/>
      <c r="U4" s="68"/>
      <c r="V4" s="68"/>
      <c r="W4" s="268" t="s">
        <v>5</v>
      </c>
      <c r="X4" s="68"/>
      <c r="Y4" s="68"/>
      <c r="Z4" s="68"/>
      <c r="AA4" s="68"/>
      <c r="AB4" s="51"/>
      <c r="AC4" s="68"/>
      <c r="AD4" s="268"/>
      <c r="AE4" s="268"/>
      <c r="AF4" s="268"/>
      <c r="AG4" s="268"/>
      <c r="AH4" s="268"/>
      <c r="AI4" s="268"/>
      <c r="AJ4" s="268"/>
      <c r="AK4" s="268"/>
      <c r="AL4" s="67"/>
      <c r="AM4" s="70" t="s">
        <v>6</v>
      </c>
      <c r="AN4" s="69"/>
      <c r="AO4" s="269" t="s">
        <v>7</v>
      </c>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row>
    <row r="5" spans="2:118" ht="21" customHeight="1" thickBot="1">
      <c r="B5" s="73" t="s">
        <v>8</v>
      </c>
      <c r="C5" s="74"/>
      <c r="D5" s="266" t="s">
        <v>9</v>
      </c>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row>
    <row r="6" spans="2:118" ht="33.75" customHeight="1" thickBot="1">
      <c r="B6" s="33"/>
      <c r="C6" s="34"/>
      <c r="D6" s="34"/>
      <c r="E6" s="34"/>
      <c r="F6" s="34"/>
      <c r="G6" s="34"/>
      <c r="H6" s="34"/>
      <c r="I6" s="34"/>
      <c r="J6" s="34"/>
      <c r="K6" s="34"/>
      <c r="L6" s="34"/>
      <c r="M6" s="34"/>
      <c r="N6" s="34"/>
      <c r="O6" s="34"/>
      <c r="P6" s="34"/>
      <c r="Q6" s="36"/>
      <c r="R6" s="36" t="s">
        <v>10</v>
      </c>
      <c r="S6" s="34"/>
      <c r="T6" s="34"/>
      <c r="U6" s="34"/>
      <c r="V6" s="34"/>
      <c r="W6" s="34"/>
      <c r="X6" s="34"/>
      <c r="Y6" s="34"/>
      <c r="Z6" s="34"/>
      <c r="AA6" s="34"/>
      <c r="AB6" s="34"/>
      <c r="AC6" s="34"/>
      <c r="AD6" s="34"/>
      <c r="AE6" s="34"/>
      <c r="AF6" s="34"/>
      <c r="AG6" s="34"/>
      <c r="AH6" s="34"/>
      <c r="AI6" s="34"/>
      <c r="AJ6" s="34"/>
      <c r="AK6" s="34"/>
      <c r="AL6" s="34"/>
      <c r="AM6" s="9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5"/>
      <c r="BY6" s="36"/>
      <c r="BZ6" s="36"/>
      <c r="CA6" s="36"/>
      <c r="CB6" s="36"/>
      <c r="CC6" s="36"/>
      <c r="CD6" s="36"/>
      <c r="CE6" s="36"/>
      <c r="CF6" s="36"/>
      <c r="CG6" s="36"/>
      <c r="CH6" s="36"/>
      <c r="CI6" s="36"/>
      <c r="CJ6" s="36"/>
      <c r="CK6" s="36"/>
      <c r="CL6" s="36"/>
      <c r="CM6" s="36" t="s">
        <v>11</v>
      </c>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row>
    <row r="7" spans="2:118" ht="39" customHeight="1" thickBot="1">
      <c r="B7" s="528" t="s">
        <v>12</v>
      </c>
      <c r="C7" s="529" t="s">
        <v>13</v>
      </c>
      <c r="D7" s="532" t="s">
        <v>14</v>
      </c>
      <c r="E7" s="529" t="s">
        <v>15</v>
      </c>
      <c r="F7" s="525" t="s">
        <v>16</v>
      </c>
      <c r="G7" s="54" t="s">
        <v>17</v>
      </c>
      <c r="H7" s="54"/>
      <c r="I7" s="54"/>
      <c r="J7" s="54"/>
      <c r="K7" s="54" t="s">
        <v>18</v>
      </c>
      <c r="L7" s="54"/>
      <c r="M7" s="54" t="s">
        <v>19</v>
      </c>
      <c r="N7" s="54"/>
      <c r="O7" s="54"/>
      <c r="P7" s="54"/>
      <c r="Q7" s="54"/>
      <c r="R7" s="54"/>
      <c r="S7" s="54"/>
      <c r="T7" s="54"/>
      <c r="U7" s="54"/>
      <c r="V7" s="54"/>
      <c r="W7" s="54"/>
      <c r="X7" s="54"/>
      <c r="Y7" s="54"/>
      <c r="Z7" s="54"/>
      <c r="AA7" s="54"/>
      <c r="AB7" s="54"/>
      <c r="AC7" s="93" t="s">
        <v>20</v>
      </c>
      <c r="AD7" s="55"/>
      <c r="AE7" s="55"/>
      <c r="AF7" s="55"/>
      <c r="AG7" s="55"/>
      <c r="AH7" s="55"/>
      <c r="AI7" s="55"/>
      <c r="AJ7" s="55"/>
      <c r="AK7" s="55"/>
      <c r="AL7" s="55"/>
      <c r="AM7" s="96" t="s">
        <v>21</v>
      </c>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9"/>
      <c r="BX7" s="515" t="s">
        <v>14</v>
      </c>
      <c r="BY7" s="95" t="s">
        <v>22</v>
      </c>
      <c r="BZ7" s="87"/>
      <c r="CA7" s="87"/>
      <c r="CB7" s="87"/>
      <c r="CC7" s="95"/>
      <c r="CD7" s="95"/>
      <c r="CE7" s="95"/>
      <c r="CF7" s="95" t="s">
        <v>23</v>
      </c>
      <c r="CG7" s="87"/>
      <c r="CH7" s="87"/>
      <c r="CI7" s="87"/>
      <c r="CJ7" s="95"/>
      <c r="CK7" s="95"/>
      <c r="CL7" s="95"/>
      <c r="CM7" s="95" t="s">
        <v>24</v>
      </c>
      <c r="CN7" s="87"/>
      <c r="CO7" s="87"/>
      <c r="CP7" s="87"/>
      <c r="CQ7" s="95"/>
      <c r="CR7" s="95"/>
      <c r="CS7" s="95"/>
      <c r="CT7" s="95" t="s">
        <v>25</v>
      </c>
      <c r="CU7" s="87"/>
      <c r="CV7" s="87"/>
      <c r="CW7" s="87"/>
      <c r="CX7" s="95"/>
      <c r="CY7" s="95"/>
      <c r="CZ7" s="95"/>
      <c r="DA7" s="95" t="s">
        <v>26</v>
      </c>
      <c r="DB7" s="87"/>
      <c r="DC7" s="87"/>
      <c r="DD7" s="87"/>
      <c r="DE7" s="95"/>
      <c r="DF7" s="95"/>
      <c r="DG7" s="95"/>
      <c r="DH7" s="95" t="s">
        <v>27</v>
      </c>
      <c r="DI7" s="87"/>
      <c r="DJ7" s="87"/>
      <c r="DK7" s="87"/>
      <c r="DL7" s="95"/>
      <c r="DM7" s="95"/>
      <c r="DN7" s="95"/>
    </row>
    <row r="8" spans="2:118" ht="18.95" customHeight="1" thickBot="1">
      <c r="B8" s="528"/>
      <c r="C8" s="529"/>
      <c r="D8" s="532"/>
      <c r="E8" s="529"/>
      <c r="F8" s="525"/>
      <c r="G8" s="514" t="s">
        <v>28</v>
      </c>
      <c r="H8" s="513" t="s">
        <v>29</v>
      </c>
      <c r="I8" s="513" t="s">
        <v>30</v>
      </c>
      <c r="J8" s="513" t="s">
        <v>31</v>
      </c>
      <c r="K8" s="513" t="s">
        <v>32</v>
      </c>
      <c r="L8" s="513" t="s">
        <v>33</v>
      </c>
      <c r="M8" s="514" t="s">
        <v>34</v>
      </c>
      <c r="N8" s="514" t="s">
        <v>35</v>
      </c>
      <c r="O8" s="513" t="s">
        <v>36</v>
      </c>
      <c r="P8" s="513" t="s">
        <v>37</v>
      </c>
      <c r="Q8" s="90" t="s">
        <v>38</v>
      </c>
      <c r="R8" s="90"/>
      <c r="S8" s="512" t="s">
        <v>39</v>
      </c>
      <c r="T8" s="512" t="s">
        <v>40</v>
      </c>
      <c r="U8" s="512" t="s">
        <v>41</v>
      </c>
      <c r="V8" s="512" t="s">
        <v>42</v>
      </c>
      <c r="W8" s="512" t="s">
        <v>43</v>
      </c>
      <c r="X8" s="512" t="s">
        <v>44</v>
      </c>
      <c r="Y8" s="512" t="s">
        <v>45</v>
      </c>
      <c r="Z8" s="512" t="s">
        <v>46</v>
      </c>
      <c r="AA8" s="512" t="s">
        <v>47</v>
      </c>
      <c r="AB8" s="512" t="s">
        <v>48</v>
      </c>
      <c r="AC8" s="516" t="s">
        <v>49</v>
      </c>
      <c r="AD8" s="516" t="s">
        <v>50</v>
      </c>
      <c r="AE8" s="516" t="s">
        <v>51</v>
      </c>
      <c r="AF8" s="516" t="s">
        <v>52</v>
      </c>
      <c r="AG8" s="516" t="s">
        <v>53</v>
      </c>
      <c r="AH8" s="516" t="s">
        <v>54</v>
      </c>
      <c r="AI8" s="516" t="s">
        <v>55</v>
      </c>
      <c r="AJ8" s="516" t="s">
        <v>56</v>
      </c>
      <c r="AK8" s="516" t="s">
        <v>57</v>
      </c>
      <c r="AL8" s="542" t="s">
        <v>58</v>
      </c>
      <c r="AM8" s="511">
        <v>2022</v>
      </c>
      <c r="AN8" s="511"/>
      <c r="AO8" s="511"/>
      <c r="AP8" s="511"/>
      <c r="AQ8" s="511">
        <v>2023</v>
      </c>
      <c r="AR8" s="511"/>
      <c r="AS8" s="511"/>
      <c r="AT8" s="511"/>
      <c r="AU8" s="511">
        <v>2024</v>
      </c>
      <c r="AV8" s="511"/>
      <c r="AW8" s="511"/>
      <c r="AX8" s="511"/>
      <c r="AY8" s="511">
        <v>2025</v>
      </c>
      <c r="AZ8" s="511"/>
      <c r="BA8" s="511"/>
      <c r="BB8" s="511"/>
      <c r="BC8" s="511">
        <v>2026</v>
      </c>
      <c r="BD8" s="511"/>
      <c r="BE8" s="511"/>
      <c r="BF8" s="511"/>
      <c r="BG8" s="511">
        <v>2027</v>
      </c>
      <c r="BH8" s="511"/>
      <c r="BI8" s="511"/>
      <c r="BJ8" s="511"/>
      <c r="BK8" s="511">
        <v>2028</v>
      </c>
      <c r="BL8" s="511"/>
      <c r="BM8" s="511"/>
      <c r="BN8" s="511"/>
      <c r="BO8" s="511">
        <v>2029</v>
      </c>
      <c r="BP8" s="511"/>
      <c r="BQ8" s="511"/>
      <c r="BR8" s="511"/>
      <c r="BS8" s="511">
        <v>2030</v>
      </c>
      <c r="BT8" s="511"/>
      <c r="BU8" s="511"/>
      <c r="BV8" s="511"/>
      <c r="BW8" s="543" t="s">
        <v>58</v>
      </c>
      <c r="BX8" s="515"/>
      <c r="BY8" s="91" t="s">
        <v>59</v>
      </c>
      <c r="BZ8" s="91"/>
      <c r="CA8" s="91"/>
      <c r="CB8" s="91" t="s">
        <v>60</v>
      </c>
      <c r="CC8" s="91"/>
      <c r="CD8" s="545" t="s">
        <v>61</v>
      </c>
      <c r="CE8" s="545" t="s">
        <v>62</v>
      </c>
      <c r="CF8" s="91" t="s">
        <v>59</v>
      </c>
      <c r="CG8" s="91"/>
      <c r="CH8" s="91"/>
      <c r="CI8" s="91" t="s">
        <v>60</v>
      </c>
      <c r="CJ8" s="91"/>
      <c r="CK8" s="545" t="s">
        <v>61</v>
      </c>
      <c r="CL8" s="545" t="s">
        <v>62</v>
      </c>
      <c r="CM8" s="91" t="s">
        <v>59</v>
      </c>
      <c r="CN8" s="91"/>
      <c r="CO8" s="91"/>
      <c r="CP8" s="91" t="s">
        <v>60</v>
      </c>
      <c r="CQ8" s="91"/>
      <c r="CR8" s="545" t="s">
        <v>61</v>
      </c>
      <c r="CS8" s="545" t="s">
        <v>62</v>
      </c>
      <c r="CT8" s="91" t="s">
        <v>59</v>
      </c>
      <c r="CU8" s="91"/>
      <c r="CV8" s="91"/>
      <c r="CW8" s="91" t="s">
        <v>60</v>
      </c>
      <c r="CX8" s="91"/>
      <c r="CY8" s="545" t="s">
        <v>61</v>
      </c>
      <c r="CZ8" s="545" t="s">
        <v>62</v>
      </c>
      <c r="DA8" s="91" t="s">
        <v>59</v>
      </c>
      <c r="DB8" s="91"/>
      <c r="DC8" s="91"/>
      <c r="DD8" s="91" t="s">
        <v>60</v>
      </c>
      <c r="DE8" s="91"/>
      <c r="DF8" s="545" t="s">
        <v>61</v>
      </c>
      <c r="DG8" s="545" t="s">
        <v>62</v>
      </c>
      <c r="DH8" s="91" t="s">
        <v>59</v>
      </c>
      <c r="DI8" s="91"/>
      <c r="DJ8" s="91"/>
      <c r="DK8" s="91" t="s">
        <v>60</v>
      </c>
      <c r="DL8" s="91"/>
      <c r="DM8" s="545" t="s">
        <v>61</v>
      </c>
      <c r="DN8" s="545" t="s">
        <v>62</v>
      </c>
    </row>
    <row r="9" spans="2:118" ht="21.95" customHeight="1">
      <c r="B9" s="528"/>
      <c r="C9" s="529"/>
      <c r="D9" s="532"/>
      <c r="E9" s="529"/>
      <c r="F9" s="525"/>
      <c r="G9" s="514"/>
      <c r="H9" s="513"/>
      <c r="I9" s="513"/>
      <c r="J9" s="513"/>
      <c r="K9" s="513"/>
      <c r="L9" s="513"/>
      <c r="M9" s="514"/>
      <c r="N9" s="514"/>
      <c r="O9" s="513"/>
      <c r="P9" s="513"/>
      <c r="Q9" s="92" t="s">
        <v>63</v>
      </c>
      <c r="R9" s="92" t="s">
        <v>64</v>
      </c>
      <c r="S9" s="512"/>
      <c r="T9" s="512"/>
      <c r="U9" s="512"/>
      <c r="V9" s="512"/>
      <c r="W9" s="512"/>
      <c r="X9" s="512"/>
      <c r="Y9" s="512"/>
      <c r="Z9" s="512"/>
      <c r="AA9" s="512"/>
      <c r="AB9" s="512"/>
      <c r="AC9" s="516"/>
      <c r="AD9" s="516"/>
      <c r="AE9" s="516"/>
      <c r="AF9" s="516"/>
      <c r="AG9" s="516"/>
      <c r="AH9" s="516"/>
      <c r="AI9" s="516"/>
      <c r="AJ9" s="516"/>
      <c r="AK9" s="516"/>
      <c r="AL9" s="542"/>
      <c r="AM9" s="92" t="s">
        <v>65</v>
      </c>
      <c r="AN9" s="92" t="s">
        <v>66</v>
      </c>
      <c r="AO9" s="92" t="s">
        <v>67</v>
      </c>
      <c r="AP9" s="92" t="s">
        <v>68</v>
      </c>
      <c r="AQ9" s="92" t="s">
        <v>65</v>
      </c>
      <c r="AR9" s="92" t="s">
        <v>66</v>
      </c>
      <c r="AS9" s="92" t="s">
        <v>67</v>
      </c>
      <c r="AT9" s="92" t="s">
        <v>68</v>
      </c>
      <c r="AU9" s="92" t="s">
        <v>65</v>
      </c>
      <c r="AV9" s="92" t="s">
        <v>66</v>
      </c>
      <c r="AW9" s="92" t="s">
        <v>67</v>
      </c>
      <c r="AX9" s="92" t="s">
        <v>68</v>
      </c>
      <c r="AY9" s="92" t="s">
        <v>65</v>
      </c>
      <c r="AZ9" s="92" t="s">
        <v>66</v>
      </c>
      <c r="BA9" s="92" t="s">
        <v>67</v>
      </c>
      <c r="BB9" s="92" t="s">
        <v>68</v>
      </c>
      <c r="BC9" s="92" t="s">
        <v>65</v>
      </c>
      <c r="BD9" s="92" t="s">
        <v>66</v>
      </c>
      <c r="BE9" s="92" t="s">
        <v>67</v>
      </c>
      <c r="BF9" s="92" t="s">
        <v>68</v>
      </c>
      <c r="BG9" s="92" t="s">
        <v>65</v>
      </c>
      <c r="BH9" s="92" t="s">
        <v>66</v>
      </c>
      <c r="BI9" s="92" t="s">
        <v>67</v>
      </c>
      <c r="BJ9" s="92" t="s">
        <v>68</v>
      </c>
      <c r="BK9" s="92" t="s">
        <v>65</v>
      </c>
      <c r="BL9" s="92" t="s">
        <v>66</v>
      </c>
      <c r="BM9" s="92" t="s">
        <v>67</v>
      </c>
      <c r="BN9" s="92" t="s">
        <v>68</v>
      </c>
      <c r="BO9" s="92" t="s">
        <v>65</v>
      </c>
      <c r="BP9" s="92" t="s">
        <v>66</v>
      </c>
      <c r="BQ9" s="92" t="s">
        <v>67</v>
      </c>
      <c r="BR9" s="92" t="s">
        <v>68</v>
      </c>
      <c r="BS9" s="92" t="s">
        <v>65</v>
      </c>
      <c r="BT9" s="92" t="s">
        <v>66</v>
      </c>
      <c r="BU9" s="92" t="s">
        <v>67</v>
      </c>
      <c r="BV9" s="92" t="s">
        <v>68</v>
      </c>
      <c r="BW9" s="543"/>
      <c r="BX9" s="515"/>
      <c r="BY9" s="86" t="s">
        <v>69</v>
      </c>
      <c r="BZ9" s="86" t="s">
        <v>70</v>
      </c>
      <c r="CA9" s="86" t="s">
        <v>71</v>
      </c>
      <c r="CB9" s="86" t="s">
        <v>72</v>
      </c>
      <c r="CC9" s="86" t="s">
        <v>73</v>
      </c>
      <c r="CD9" s="545"/>
      <c r="CE9" s="545"/>
      <c r="CF9" s="86" t="s">
        <v>69</v>
      </c>
      <c r="CG9" s="86" t="s">
        <v>70</v>
      </c>
      <c r="CH9" s="86" t="s">
        <v>71</v>
      </c>
      <c r="CI9" s="86" t="s">
        <v>72</v>
      </c>
      <c r="CJ9" s="86" t="s">
        <v>73</v>
      </c>
      <c r="CK9" s="545"/>
      <c r="CL9" s="545"/>
      <c r="CM9" s="86" t="s">
        <v>69</v>
      </c>
      <c r="CN9" s="86" t="s">
        <v>70</v>
      </c>
      <c r="CO9" s="86" t="s">
        <v>71</v>
      </c>
      <c r="CP9" s="86" t="s">
        <v>72</v>
      </c>
      <c r="CQ9" s="86" t="s">
        <v>73</v>
      </c>
      <c r="CR9" s="545"/>
      <c r="CS9" s="545"/>
      <c r="CT9" s="86" t="s">
        <v>69</v>
      </c>
      <c r="CU9" s="86" t="s">
        <v>70</v>
      </c>
      <c r="CV9" s="86" t="s">
        <v>71</v>
      </c>
      <c r="CW9" s="86" t="s">
        <v>72</v>
      </c>
      <c r="CX9" s="86" t="s">
        <v>73</v>
      </c>
      <c r="CY9" s="545"/>
      <c r="CZ9" s="545"/>
      <c r="DA9" s="86" t="s">
        <v>69</v>
      </c>
      <c r="DB9" s="86" t="s">
        <v>70</v>
      </c>
      <c r="DC9" s="86" t="s">
        <v>71</v>
      </c>
      <c r="DD9" s="86" t="s">
        <v>72</v>
      </c>
      <c r="DE9" s="86" t="s">
        <v>73</v>
      </c>
      <c r="DF9" s="545"/>
      <c r="DG9" s="545"/>
      <c r="DH9" s="86" t="s">
        <v>69</v>
      </c>
      <c r="DI9" s="86" t="s">
        <v>70</v>
      </c>
      <c r="DJ9" s="86" t="s">
        <v>71</v>
      </c>
      <c r="DK9" s="86" t="s">
        <v>72</v>
      </c>
      <c r="DL9" s="86" t="s">
        <v>73</v>
      </c>
      <c r="DM9" s="545"/>
      <c r="DN9" s="545"/>
    </row>
    <row r="10" spans="2:118" s="360" customFormat="1" ht="127.5">
      <c r="B10" s="534" t="s">
        <v>975</v>
      </c>
      <c r="C10" s="527">
        <v>0.35</v>
      </c>
      <c r="D10" s="264" t="s">
        <v>1440</v>
      </c>
      <c r="E10" s="431">
        <v>0.01</v>
      </c>
      <c r="F10" s="438" t="s">
        <v>980</v>
      </c>
      <c r="G10" s="438" t="s">
        <v>74</v>
      </c>
      <c r="H10" s="438" t="s">
        <v>75</v>
      </c>
      <c r="I10" s="316" t="s">
        <v>1426</v>
      </c>
      <c r="J10" s="441" t="s">
        <v>1427</v>
      </c>
      <c r="K10" s="362">
        <v>44713</v>
      </c>
      <c r="L10" s="362">
        <v>47848</v>
      </c>
      <c r="M10" s="342" t="s">
        <v>78</v>
      </c>
      <c r="N10" s="342" t="s">
        <v>1452</v>
      </c>
      <c r="O10" s="342" t="s">
        <v>1453</v>
      </c>
      <c r="P10" s="315" t="s">
        <v>79</v>
      </c>
      <c r="Q10" s="359">
        <v>0</v>
      </c>
      <c r="R10" s="197">
        <v>2022</v>
      </c>
      <c r="S10" s="367">
        <v>0.05</v>
      </c>
      <c r="T10" s="504">
        <v>0.2</v>
      </c>
      <c r="U10" s="504">
        <v>0.35</v>
      </c>
      <c r="V10" s="504">
        <v>0.5</v>
      </c>
      <c r="W10" s="504">
        <v>0.65</v>
      </c>
      <c r="X10" s="504">
        <v>0.8</v>
      </c>
      <c r="Y10" s="504">
        <v>0.9</v>
      </c>
      <c r="Z10" s="504">
        <v>0.95</v>
      </c>
      <c r="AA10" s="504">
        <v>1</v>
      </c>
      <c r="AB10" s="504">
        <v>1</v>
      </c>
      <c r="AC10" s="333">
        <v>1000</v>
      </c>
      <c r="AD10" s="333">
        <v>1000</v>
      </c>
      <c r="AE10" s="453">
        <v>1000</v>
      </c>
      <c r="AF10" s="453">
        <v>1000</v>
      </c>
      <c r="AG10" s="453">
        <v>1000</v>
      </c>
      <c r="AH10" s="453">
        <v>1000</v>
      </c>
      <c r="AI10" s="453">
        <v>1000</v>
      </c>
      <c r="AJ10" s="453">
        <v>1000</v>
      </c>
      <c r="AK10" s="453">
        <v>1000</v>
      </c>
      <c r="AL10" s="387">
        <f>IF(SUM(AC10:AK10)=0,"",SUM(AC10:AK10))</f>
        <v>9000</v>
      </c>
      <c r="AM10" s="387">
        <v>1000</v>
      </c>
      <c r="AN10" s="366" t="s">
        <v>80</v>
      </c>
      <c r="AO10" s="366" t="s">
        <v>81</v>
      </c>
      <c r="AP10" s="366" t="s">
        <v>81</v>
      </c>
      <c r="AQ10" s="387">
        <v>1000</v>
      </c>
      <c r="AR10" s="366" t="s">
        <v>80</v>
      </c>
      <c r="AS10" s="366" t="s">
        <v>81</v>
      </c>
      <c r="AT10" s="366" t="s">
        <v>81</v>
      </c>
      <c r="AU10" s="387">
        <v>1000</v>
      </c>
      <c r="AV10" s="366" t="s">
        <v>80</v>
      </c>
      <c r="AW10" s="366" t="s">
        <v>81</v>
      </c>
      <c r="AX10" s="366" t="s">
        <v>81</v>
      </c>
      <c r="AY10" s="387">
        <v>1000</v>
      </c>
      <c r="AZ10" s="366" t="s">
        <v>80</v>
      </c>
      <c r="BA10" s="366" t="s">
        <v>81</v>
      </c>
      <c r="BB10" s="366" t="s">
        <v>81</v>
      </c>
      <c r="BC10" s="387">
        <v>1000</v>
      </c>
      <c r="BD10" s="366" t="s">
        <v>80</v>
      </c>
      <c r="BE10" s="366" t="s">
        <v>81</v>
      </c>
      <c r="BF10" s="366" t="s">
        <v>81</v>
      </c>
      <c r="BG10" s="387">
        <v>1000</v>
      </c>
      <c r="BH10" s="366" t="s">
        <v>80</v>
      </c>
      <c r="BI10" s="366" t="s">
        <v>81</v>
      </c>
      <c r="BJ10" s="366" t="s">
        <v>81</v>
      </c>
      <c r="BK10" s="387">
        <v>1000</v>
      </c>
      <c r="BL10" s="366" t="s">
        <v>80</v>
      </c>
      <c r="BM10" s="366" t="s">
        <v>81</v>
      </c>
      <c r="BN10" s="366" t="s">
        <v>81</v>
      </c>
      <c r="BO10" s="387">
        <v>1000</v>
      </c>
      <c r="BP10" s="366" t="s">
        <v>80</v>
      </c>
      <c r="BQ10" s="366" t="s">
        <v>81</v>
      </c>
      <c r="BR10" s="366" t="s">
        <v>81</v>
      </c>
      <c r="BS10" s="387">
        <v>1000</v>
      </c>
      <c r="BT10" s="366" t="s">
        <v>80</v>
      </c>
      <c r="BU10" s="366" t="s">
        <v>81</v>
      </c>
      <c r="BV10" s="366" t="s">
        <v>81</v>
      </c>
      <c r="BW10" s="97">
        <f>IF(SUM(AM10:BV10)=0,"",SUM(AM10:BV10))</f>
        <v>9000</v>
      </c>
      <c r="BX10" s="384" t="s">
        <v>82</v>
      </c>
      <c r="BY10" s="439"/>
      <c r="BZ10" s="45" t="str">
        <f>IF(BY10="","",IF(IF(OR(P10=Desplegables!$B$5,P10=Desplegables!$B$6,),(Q10-BY10)/(Q10-S10),BY10/S10)&lt;0,0%,IF(IF(OR(P10=Desplegables!$B$5,P10=Desplegables!$B$6,),(Q10-BY10)/(Q10-S10),BY10/S10)&gt;1,100%,IF(OR(P10=Desplegables!$B$5,P10=Desplegables!$B$6,),(Q10-BY10)/(Q10-S10),BY10/S10))))</f>
        <v/>
      </c>
      <c r="CA10" s="45" t="str">
        <f>IF(BY10="","",IF(IF(OR(P10=Desplegables!$B$5,P10=Desplegables!$B$6,),(Q10-BY10)/(Q10-AB10),BY10/AB10)&lt;0,0%,IF(IF(OR(P10=Desplegables!$B$5,P10=Desplegables!$B$6,),(Q10-BY10)/(Q10-AB10),BY10/AB10)&gt;1,100%,IF(OR(P10=Desplegables!$B$5,P10=Desplegables!$B$6,),(Q10-BY10)/(Q10-AB10),BY10/AB10))))</f>
        <v/>
      </c>
      <c r="CB10" s="97"/>
      <c r="CC10" s="45" t="str">
        <f t="shared" ref="CC10" si="0">IF(CB10="","",IF(CB10/SUM(AM10,AO10)&gt;1,100%,CB10/SUM(AM10,AO10)))</f>
        <v/>
      </c>
      <c r="CD10" s="546">
        <f>IFERROR((SUMPRODUCT($E$10:$E$66,BZ10:BZ66)*100%)/SUM($E$10:$E$66),"")</f>
        <v>0</v>
      </c>
      <c r="CE10" s="546">
        <f>IFERROR((SUMPRODUCT($E$10:$E$66,CA10:CA66)*100%)/SUM($E$10:$E$66),"")</f>
        <v>0</v>
      </c>
      <c r="CF10" s="439"/>
      <c r="CG10" s="45" t="str">
        <f>IF(CF10="","",IF(IF(OR(P10=Desplegables!$B$5,P10=Desplegables!$B$6,),(Q10-CF10)/(Q10-S10),CF10/S10)&lt;0,0%,IF(IF(OR(P10=Desplegables!$B$5,P10=Desplegables!$B$6,),(Q10-CF10)/(Q10-S10),CF10/S10)&gt;1,100%,IF(OR(P10=Desplegables!$B$5,P10=Desplegables!$B$6,),(Q10-CF10)/(Q10-S10),CF10/S10))))</f>
        <v/>
      </c>
      <c r="CH10" s="45" t="str">
        <f>IF(CF10="","",IF(IF(OR(P10=Desplegables!$B$5,P10=Desplegables!$B$6,),(Q10-CF10)/(Q10-AB10),CF10/AB10)&lt;0,0%,IF(IF(OR(P10=Desplegables!$B$5,P10=Desplegables!$B$6,),(Q10-CF10)/(Q10-AB10),CF10/AB10)&gt;1,100%,IF(OR(P10=Desplegables!$B$5,P10=Desplegables!$B$6,),(Q10-CF10)/(Q10-AB10),CF10/AB10))))</f>
        <v/>
      </c>
      <c r="CI10" s="97"/>
      <c r="CJ10" s="45" t="str">
        <f t="shared" ref="CJ10" si="1">IF(SUM(CB10,CI10)=0,"",IF(SUM(CB10,CI10)/SUM(AM10,AO10)&gt;1,100%,SUM(CB10,CI10)/SUM(AM10,AO10)))</f>
        <v/>
      </c>
      <c r="CK10" s="546">
        <f>IFERROR((SUMPRODUCT($E$10:$E$66,CG10:CG66)*100%)/SUM($E$10:$E$66),"")</f>
        <v>0</v>
      </c>
      <c r="CL10" s="546">
        <f>IFERROR((SUMPRODUCT($E$10:$E$66,CH10:CH66)*100%)/SUM($E$10:$E$66),"")</f>
        <v>0</v>
      </c>
      <c r="CM10" s="439"/>
      <c r="CN10" s="45" t="str">
        <f>IF(CM10="","",IF(IF(OR(P10=Desplegables!$B$5,P10=Desplegables!$B$6,),(Q10-CM10)/(Q10-T10),CM10/T10)&lt;0,0%,IF(IF(OR(P10=Desplegables!$B$5,P10=Desplegables!$B$6,),(Q10-CM10)/(Q10-T10),CM10/T10)&gt;1,100%,IF(OR(P10=Desplegables!$B$5,P10=Desplegables!$B$6,),(Q10-CM10)/(Q10-T10),CM10/T10))))</f>
        <v/>
      </c>
      <c r="CO10" s="45" t="str">
        <f>IF(CM10="","",IF(IF(OR(P10=Desplegables!$B$5,P10=Desplegables!$B$6,),(Q10-CM10)/(Q10-AB10),IF(P10=Desplegables!$B$3,AVERAGE(CM10,CF10)/AB10,CM10/AB10))&lt;0,0%,IF(IF(OR(P10=Desplegables!$B$5,P10=Desplegables!$B$6,),(Q10-CM10)/(Q10-AB10),IF(P10=Desplegables!$B$3,AVERAGE(CM10,CF10)/AB10,CM10/AB10))&gt;1,100%,IF(OR(P10=Desplegables!$B$5,P10=Desplegables!$B$6,),(Q10-CM10)/(Q10-AB10),IF(P10=Desplegables!$B$3,AVERAGE(CM10,CF10)/AB10,CM10/AB10)))))</f>
        <v/>
      </c>
      <c r="CP10" s="97"/>
      <c r="CQ10" s="45" t="str">
        <f t="shared" ref="CQ10" si="2">IF(CP10="","",IF(CP10/SUM(BO10,BQ10)&gt;1,100%,CP10/SUM(BO10,BQ10)))</f>
        <v/>
      </c>
      <c r="CR10" s="546">
        <f>IFERROR((SUMPRODUCT($E$10:$E$66,CN10:CN66)*100%)/SUM($E$10:$E$66),"")</f>
        <v>0</v>
      </c>
      <c r="CS10" s="546">
        <f>IFERROR((SUMPRODUCT($E$10:$E$66,CO10:CO66)*100%)/SUM($E$10:$E$66),"")</f>
        <v>0</v>
      </c>
      <c r="CT10" s="439"/>
      <c r="CU10" s="45" t="str">
        <f>IF(CT10="","",IF(IF(OR(P10=Desplegables!$B$5,P10=Desplegables!$B$6,),(Q10-CT10)/(Q10-T10),CT10/T10)&lt;0,0%,IF(IF(OR(P10=Desplegables!$B$5,P10=Desplegables!$B$6,),(Q10-CT10)/(Q10-T10),CT10/T10)&gt;1,100%,IF(OR(P10=Desplegables!$B$5,P10=Desplegables!$B$6,),(Q10-CT10)/(Q10-T10),CT10/T10))))</f>
        <v/>
      </c>
      <c r="CV10" s="45" t="str">
        <f>IF(CT10="","",IF(IF(OR(P10=Desplegables!$B$5,P10=Desplegables!$B$6,),(Q10-CT10)/(Q10-AB10),IF(P10=Desplegables!$B$3,AVERAGE(CT10,CF10)/AB10,CT10/AB10))&lt;0,0%,IF(IF(OR(P10=Desplegables!$B$5,P10=Desplegables!$B$6,),(Q10-CT10)/(Q10-AB10),IF(P10=Desplegables!$B$3,AVERAGE(CT10,CF10)/AB10,CT10/AB10))&gt;1,100%,IF(OR(P10=Desplegables!$B$5,P10=Desplegables!$B$6,),(Q10-CT10)/(Q10-AB10),IF(P10=Desplegables!$B$3,AVERAGE(CT10,CF10)/AB10,CT10/AB10)))))</f>
        <v/>
      </c>
      <c r="CW10" s="97"/>
      <c r="CX10" s="45" t="str">
        <f t="shared" ref="CX10" si="3">IF(SUM(CP10,CW10)=0,"",IF(SUM(CP10,CW10)/SUM(BO10,BQ10)&gt;1,100%,SUM(CP10,CW10)/SUM(BO10,BQ10)))</f>
        <v/>
      </c>
      <c r="CY10" s="546">
        <f>IFERROR((SUMPRODUCT($E$10:$E$66,CU10:CU66)*100%)/SUM($E$10:$E$66),"")</f>
        <v>0</v>
      </c>
      <c r="CZ10" s="546">
        <f>IFERROR((SUMPRODUCT($E$10:$E$66,CV10:CV66)*100%)/SUM($E$10:$E$66),"")</f>
        <v>0</v>
      </c>
      <c r="DA10" s="439"/>
      <c r="DB10" s="45" t="str">
        <f>IF(DA10="","",IF(IF(OR(P10=Desplegables!$B$5,P10=Desplegables!$B$6,),(Q10-DA10)/(Q10-AB10),IF(P10=Desplegables!$B$3,DA10/U10,DA10/AB10))&lt;0,0%,IF(IF(OR(P10=Desplegables!$B$5,P10=Desplegables!$B$6,),(Q10-DA10)/(Q10-AB10),IF(P10=Desplegables!$B$3,DA10/U10,DA10/AB10))&gt;1,100%,IF(OR(P10=Desplegables!$B$5,P10=Desplegables!$B$6,),(Q10-DA10)/(Q10-AB10),IF(P10=Desplegables!$B$3,DA10/U10,DA10/AB10)))))</f>
        <v/>
      </c>
      <c r="DC10" s="45" t="str">
        <f>IF(DA10="","",IF(IF(OR(P10=Desplegables!$B$5,P10=Desplegables!$B$6,),(Q10-DA10)/(Q10-AB10),IF(P10=Desplegables!$B$3,AVERAGE(DA10,CT10,CF10)/AB10,DA10/AB10))&lt;0,0%,IF(IF(OR(P10=Desplegables!$B$5,P10=Desplegables!$B$6,),(Q10-DA10)/(Q10-AB10),IF(P10=Desplegables!$B$3,AVERAGE(DA10,CT10,CF10)/AB10,DA10/AB10))&gt;1,100%,IF(OR(P10=Desplegables!$B$5,P10=Desplegables!$B$6,),(Q10-DA10)/(Q10-AB10),IF(P10=Desplegables!$B$3,AVERAGE(DA10,CT10,CF10)/AB10,DA10/AB10)))))</f>
        <v/>
      </c>
      <c r="DD10" s="97"/>
      <c r="DE10" s="45" t="str">
        <f t="shared" ref="DE10" si="4">IF(DD10="","",IF(DD10/SUM(BS10,BU10)&gt;1,100%,DD10/SUM(BS10,BU10)))</f>
        <v/>
      </c>
      <c r="DF10" s="546">
        <f>IFERROR((SUMPRODUCT($E$10:$E$66,DB10:DB66)*100%)/SUM($E$10:$E$66),"")</f>
        <v>0</v>
      </c>
      <c r="DG10" s="546">
        <f>IFERROR((SUMPRODUCT($E$10:$E$66,DC10:DC66)*100%)/SUM($E$10:$E$66),"")</f>
        <v>0</v>
      </c>
      <c r="DH10" s="439"/>
      <c r="DI10" s="45" t="str">
        <f>IF(DH10="","",IF(IF(OR(P10=Desplegables!$B$5,P10=Desplegables!$B$6,),(Q10-DH10)/(Q10-AB10),IF(P10=Desplegables!$B$3,DH10/U10,DH10/AB10))&lt;0,0%,IF(IF(OR(P10=Desplegables!$B$5,P10=Desplegables!$B$6,),(Q10-DH10)/(Q10-AB10),IF(P10=Desplegables!$B$3,DH10/U10,DH10/AB10))&gt;1,100%,IF(OR(P10=Desplegables!$B$5,P10=Desplegables!$B$6,),(Q10-DH10)/(Q10-AB10),IF(P10=Desplegables!$B$3,DH10/U10,DH10/AB10)))))</f>
        <v/>
      </c>
      <c r="DJ10" s="45" t="str">
        <f>IF(DH10="","",IF(IF(OR(P10=Desplegables!$B$5,P10=Desplegables!$B$6,),(Q10-DH10)/(Q10-AB10),IF(P10=Desplegables!$B$3,AVERAGE(DH10,CT10,CF10)/AB10,DH10/AB10))&lt;0,0%,IF(IF(OR(P10=Desplegables!$B$5,P10=Desplegables!$B$6,),(Q10-DH10)/(Q10-AB10),IF(P10=Desplegables!$B$3,AVERAGE(DH10,CT10,CF10)/AB10,DH10/AB10))&gt;1,100%,IF(OR(P10=Desplegables!$B$5,P10=Desplegables!$B$6,),(Q10-DH10)/(Q10-AB10),IF(P10=Desplegables!$B$3,AVERAGE(DH10,CT10,CF10)/AB10,DH10/AB10)))))</f>
        <v/>
      </c>
      <c r="DK10" s="97"/>
      <c r="DL10" s="45" t="str">
        <f t="shared" ref="DL10" si="5">IF(SUM(DD10,DK10)=0,"",IF(SUM(DD10,DK10)/SUM(BS10,BU10)&gt;1,100%,SUM(DD10,DK10)/SUM(BS10,BU10)))</f>
        <v/>
      </c>
      <c r="DM10" s="546">
        <f>IFERROR((SUMPRODUCT($E$10:$E$66,DI10:DI66)*100%)/SUM($E$10:$E$66),"")</f>
        <v>0</v>
      </c>
      <c r="DN10" s="546">
        <f>IFERROR((SUMPRODUCT($E$10:$E$66,DJ10:DJ66)*100%)/SUM($E$10:$E$66),"")</f>
        <v>0</v>
      </c>
    </row>
    <row r="11" spans="2:118" s="124" customFormat="1" ht="191.25">
      <c r="B11" s="535"/>
      <c r="C11" s="527"/>
      <c r="D11" s="264" t="s">
        <v>83</v>
      </c>
      <c r="E11" s="431">
        <v>1E-3</v>
      </c>
      <c r="F11" s="187" t="s">
        <v>1441</v>
      </c>
      <c r="G11" s="187" t="s">
        <v>74</v>
      </c>
      <c r="H11" s="187" t="s">
        <v>96</v>
      </c>
      <c r="I11" s="136" t="s">
        <v>84</v>
      </c>
      <c r="J11" s="385" t="s">
        <v>85</v>
      </c>
      <c r="K11" s="156">
        <v>44927</v>
      </c>
      <c r="L11" s="156">
        <v>47483</v>
      </c>
      <c r="M11" s="136" t="s">
        <v>78</v>
      </c>
      <c r="N11" s="136" t="s">
        <v>86</v>
      </c>
      <c r="O11" s="136" t="s">
        <v>1189</v>
      </c>
      <c r="P11" s="193" t="s">
        <v>87</v>
      </c>
      <c r="Q11" s="45">
        <v>0</v>
      </c>
      <c r="R11" s="197">
        <v>2022</v>
      </c>
      <c r="S11" s="189"/>
      <c r="T11" s="45">
        <v>0.2</v>
      </c>
      <c r="U11" s="45">
        <v>0.4</v>
      </c>
      <c r="V11" s="45">
        <v>0.6</v>
      </c>
      <c r="W11" s="45">
        <v>0.72</v>
      </c>
      <c r="X11" s="45">
        <v>0.84</v>
      </c>
      <c r="Y11" s="45">
        <v>0.92</v>
      </c>
      <c r="Z11" s="45">
        <v>1</v>
      </c>
      <c r="AA11" s="189"/>
      <c r="AB11" s="45">
        <v>1</v>
      </c>
      <c r="AC11" s="328"/>
      <c r="AD11" s="190">
        <v>600</v>
      </c>
      <c r="AE11" s="190">
        <v>600</v>
      </c>
      <c r="AF11" s="190">
        <v>600</v>
      </c>
      <c r="AG11" s="190">
        <v>600</v>
      </c>
      <c r="AH11" s="190">
        <v>600</v>
      </c>
      <c r="AI11" s="190">
        <v>600</v>
      </c>
      <c r="AJ11" s="190">
        <v>600</v>
      </c>
      <c r="AK11" s="190">
        <v>600</v>
      </c>
      <c r="AL11" s="190">
        <f t="shared" ref="AL11" si="6">IF(SUM(AC11:AK11)=0,"",SUM(AC11:AK11))</f>
        <v>4800</v>
      </c>
      <c r="AM11" s="190"/>
      <c r="AN11" s="321"/>
      <c r="AO11" s="190"/>
      <c r="AP11" s="321"/>
      <c r="AQ11" s="190">
        <v>600</v>
      </c>
      <c r="AR11" s="194" t="s">
        <v>80</v>
      </c>
      <c r="AS11" s="190"/>
      <c r="AT11" s="321"/>
      <c r="AU11" s="190">
        <v>600</v>
      </c>
      <c r="AV11" s="194" t="s">
        <v>80</v>
      </c>
      <c r="AW11" s="190"/>
      <c r="AX11" s="321"/>
      <c r="AY11" s="190">
        <v>600</v>
      </c>
      <c r="AZ11" s="194" t="s">
        <v>80</v>
      </c>
      <c r="BA11" s="190"/>
      <c r="BB11" s="321"/>
      <c r="BC11" s="190">
        <v>600</v>
      </c>
      <c r="BD11" s="194" t="s">
        <v>80</v>
      </c>
      <c r="BE11" s="190"/>
      <c r="BF11" s="321"/>
      <c r="BG11" s="190">
        <v>600</v>
      </c>
      <c r="BH11" s="194" t="s">
        <v>80</v>
      </c>
      <c r="BI11" s="190"/>
      <c r="BJ11" s="321"/>
      <c r="BK11" s="190">
        <v>600</v>
      </c>
      <c r="BL11" s="194" t="s">
        <v>80</v>
      </c>
      <c r="BM11" s="190"/>
      <c r="BN11" s="321"/>
      <c r="BO11" s="190">
        <v>600</v>
      </c>
      <c r="BP11" s="194" t="s">
        <v>80</v>
      </c>
      <c r="BQ11" s="190"/>
      <c r="BR11" s="321"/>
      <c r="BS11" s="190">
        <v>600</v>
      </c>
      <c r="BT11" s="194" t="s">
        <v>80</v>
      </c>
      <c r="BU11" s="190"/>
      <c r="BV11" s="321"/>
      <c r="BW11" s="97">
        <f t="shared" ref="BW11:BW74" si="7">IF(SUM(AM11:BV11)=0,"",SUM(AM11:BV11))</f>
        <v>4800</v>
      </c>
      <c r="BX11" s="384"/>
      <c r="BY11" s="110"/>
      <c r="BZ11" s="45"/>
      <c r="CA11" s="45"/>
      <c r="CB11" s="97"/>
      <c r="CC11" s="45"/>
      <c r="CD11" s="546"/>
      <c r="CE11" s="546"/>
      <c r="CF11" s="110"/>
      <c r="CG11" s="45"/>
      <c r="CH11" s="45"/>
      <c r="CI11" s="97"/>
      <c r="CJ11" s="45"/>
      <c r="CK11" s="546"/>
      <c r="CL11" s="546"/>
      <c r="CM11" s="110"/>
      <c r="CN11" s="45"/>
      <c r="CO11" s="45"/>
      <c r="CP11" s="97"/>
      <c r="CQ11" s="45"/>
      <c r="CR11" s="546"/>
      <c r="CS11" s="546"/>
      <c r="CT11" s="110"/>
      <c r="CU11" s="45"/>
      <c r="CV11" s="45"/>
      <c r="CW11" s="97"/>
      <c r="CX11" s="45"/>
      <c r="CY11" s="546"/>
      <c r="CZ11" s="546"/>
      <c r="DA11" s="110"/>
      <c r="DB11" s="45"/>
      <c r="DC11" s="45"/>
      <c r="DD11" s="97"/>
      <c r="DE11" s="45"/>
      <c r="DF11" s="546"/>
      <c r="DG11" s="546"/>
      <c r="DH11" s="110"/>
      <c r="DI11" s="45"/>
      <c r="DJ11" s="45"/>
      <c r="DK11" s="97"/>
      <c r="DL11" s="45"/>
      <c r="DM11" s="546"/>
      <c r="DN11" s="546"/>
    </row>
    <row r="12" spans="2:118" s="124" customFormat="1" ht="102">
      <c r="B12" s="535"/>
      <c r="C12" s="527"/>
      <c r="D12" s="264" t="s">
        <v>89</v>
      </c>
      <c r="E12" s="431">
        <v>1E-3</v>
      </c>
      <c r="F12" s="187" t="s">
        <v>90</v>
      </c>
      <c r="G12" s="187" t="s">
        <v>74</v>
      </c>
      <c r="H12" s="187" t="s">
        <v>91</v>
      </c>
      <c r="I12" s="187" t="s">
        <v>92</v>
      </c>
      <c r="J12" s="385" t="s">
        <v>93</v>
      </c>
      <c r="K12" s="192">
        <v>44927</v>
      </c>
      <c r="L12" s="192">
        <v>46022</v>
      </c>
      <c r="M12" s="193" t="s">
        <v>78</v>
      </c>
      <c r="N12" s="193" t="s">
        <v>94</v>
      </c>
      <c r="O12" s="193" t="s">
        <v>1190</v>
      </c>
      <c r="P12" s="193" t="s">
        <v>79</v>
      </c>
      <c r="Q12" s="45">
        <v>0</v>
      </c>
      <c r="R12" s="197">
        <v>2022</v>
      </c>
      <c r="S12" s="196"/>
      <c r="T12" s="243">
        <v>0.2</v>
      </c>
      <c r="U12" s="243">
        <v>0.68</v>
      </c>
      <c r="V12" s="243">
        <v>1</v>
      </c>
      <c r="W12" s="189"/>
      <c r="X12" s="189"/>
      <c r="Y12" s="189"/>
      <c r="Z12" s="189"/>
      <c r="AA12" s="189"/>
      <c r="AB12" s="243">
        <v>1</v>
      </c>
      <c r="AC12" s="328"/>
      <c r="AD12" s="328">
        <v>73.285357000000005</v>
      </c>
      <c r="AE12" s="328">
        <v>219.85606999999999</v>
      </c>
      <c r="AF12" s="328">
        <v>115</v>
      </c>
      <c r="AG12" s="328"/>
      <c r="AH12" s="329"/>
      <c r="AI12" s="329"/>
      <c r="AJ12" s="329"/>
      <c r="AK12" s="329"/>
      <c r="AL12" s="454">
        <f t="shared" ref="AL12:AL69" si="8">IF(SUM(AC12:AK12)=0,"",SUM(AC12:AK12))</f>
        <v>408.14142700000002</v>
      </c>
      <c r="AM12" s="296"/>
      <c r="AN12" s="194"/>
      <c r="AO12" s="190"/>
      <c r="AP12" s="194"/>
      <c r="AQ12" s="309">
        <v>73.285357000000005</v>
      </c>
      <c r="AR12" s="23" t="s">
        <v>80</v>
      </c>
      <c r="AS12" s="190"/>
      <c r="AT12" s="194"/>
      <c r="AU12" s="309">
        <v>219.85606999999999</v>
      </c>
      <c r="AV12" s="23" t="s">
        <v>80</v>
      </c>
      <c r="AW12" s="321"/>
      <c r="AX12" s="194"/>
      <c r="AY12" s="309">
        <v>115</v>
      </c>
      <c r="AZ12" s="23" t="s">
        <v>80</v>
      </c>
      <c r="BA12" s="321"/>
      <c r="BB12" s="194"/>
      <c r="BC12" s="321"/>
      <c r="BD12" s="194"/>
      <c r="BE12" s="321"/>
      <c r="BF12" s="194"/>
      <c r="BG12" s="321"/>
      <c r="BH12" s="23"/>
      <c r="BI12" s="321"/>
      <c r="BJ12" s="23"/>
      <c r="BK12" s="321"/>
      <c r="BL12" s="23"/>
      <c r="BM12" s="321"/>
      <c r="BN12" s="23"/>
      <c r="BO12" s="321"/>
      <c r="BP12" s="23"/>
      <c r="BQ12" s="321"/>
      <c r="BR12" s="23"/>
      <c r="BS12" s="190"/>
      <c r="BT12" s="23"/>
      <c r="BU12" s="190"/>
      <c r="BV12" s="23"/>
      <c r="BW12" s="97">
        <f t="shared" si="7"/>
        <v>408.14142700000002</v>
      </c>
      <c r="BX12" s="384"/>
      <c r="BY12" s="110"/>
      <c r="BZ12" s="45"/>
      <c r="CA12" s="45"/>
      <c r="CB12" s="97"/>
      <c r="CC12" s="45"/>
      <c r="CD12" s="546"/>
      <c r="CE12" s="546"/>
      <c r="CF12" s="110"/>
      <c r="CG12" s="45"/>
      <c r="CH12" s="45"/>
      <c r="CI12" s="97"/>
      <c r="CJ12" s="45"/>
      <c r="CK12" s="546"/>
      <c r="CL12" s="546"/>
      <c r="CM12" s="110"/>
      <c r="CN12" s="45"/>
      <c r="CO12" s="45"/>
      <c r="CP12" s="97"/>
      <c r="CQ12" s="45"/>
      <c r="CR12" s="546"/>
      <c r="CS12" s="546"/>
      <c r="CT12" s="110"/>
      <c r="CU12" s="45"/>
      <c r="CV12" s="45"/>
      <c r="CW12" s="97"/>
      <c r="CX12" s="45"/>
      <c r="CY12" s="546"/>
      <c r="CZ12" s="546"/>
      <c r="DA12" s="110"/>
      <c r="DB12" s="45"/>
      <c r="DC12" s="45"/>
      <c r="DD12" s="97"/>
      <c r="DE12" s="45"/>
      <c r="DF12" s="546"/>
      <c r="DG12" s="546"/>
      <c r="DH12" s="110"/>
      <c r="DI12" s="45"/>
      <c r="DJ12" s="45"/>
      <c r="DK12" s="97"/>
      <c r="DL12" s="45"/>
      <c r="DM12" s="546"/>
      <c r="DN12" s="546"/>
    </row>
    <row r="13" spans="2:118" s="124" customFormat="1" ht="178.5">
      <c r="B13" s="535"/>
      <c r="C13" s="527"/>
      <c r="D13" s="264" t="s">
        <v>95</v>
      </c>
      <c r="E13" s="431">
        <v>1E-3</v>
      </c>
      <c r="F13" s="187" t="s">
        <v>90</v>
      </c>
      <c r="G13" s="187" t="s">
        <v>74</v>
      </c>
      <c r="H13" s="136" t="s">
        <v>96</v>
      </c>
      <c r="I13" s="136" t="s">
        <v>84</v>
      </c>
      <c r="J13" s="385" t="s">
        <v>85</v>
      </c>
      <c r="K13" s="156">
        <v>44927</v>
      </c>
      <c r="L13" s="156">
        <v>47483</v>
      </c>
      <c r="M13" s="136" t="s">
        <v>97</v>
      </c>
      <c r="N13" s="136" t="s">
        <v>98</v>
      </c>
      <c r="O13" s="136" t="s">
        <v>99</v>
      </c>
      <c r="P13" s="136" t="s">
        <v>87</v>
      </c>
      <c r="Q13" s="45">
        <v>0</v>
      </c>
      <c r="R13" s="197">
        <v>2022</v>
      </c>
      <c r="S13" s="136" t="s">
        <v>81</v>
      </c>
      <c r="T13" s="201">
        <v>0.2</v>
      </c>
      <c r="U13" s="201">
        <v>0.4</v>
      </c>
      <c r="V13" s="201">
        <v>0.5</v>
      </c>
      <c r="W13" s="201">
        <v>0.6</v>
      </c>
      <c r="X13" s="201">
        <v>0.7</v>
      </c>
      <c r="Y13" s="201">
        <v>0.8</v>
      </c>
      <c r="Z13" s="201">
        <v>1</v>
      </c>
      <c r="AA13" s="270"/>
      <c r="AB13" s="270">
        <v>1</v>
      </c>
      <c r="AC13" s="328"/>
      <c r="AD13" s="328">
        <v>20</v>
      </c>
      <c r="AE13" s="328">
        <v>250</v>
      </c>
      <c r="AF13" s="328">
        <v>50</v>
      </c>
      <c r="AG13" s="328">
        <v>50</v>
      </c>
      <c r="AH13" s="328">
        <v>50</v>
      </c>
      <c r="AI13" s="328">
        <v>50</v>
      </c>
      <c r="AJ13" s="328">
        <v>30</v>
      </c>
      <c r="AK13" s="328"/>
      <c r="AL13" s="454">
        <f t="shared" si="8"/>
        <v>500</v>
      </c>
      <c r="AM13" s="190"/>
      <c r="AN13" s="23"/>
      <c r="AO13" s="190"/>
      <c r="AP13" s="23"/>
      <c r="AQ13" s="97">
        <v>20</v>
      </c>
      <c r="AR13" s="23" t="s">
        <v>80</v>
      </c>
      <c r="AS13" s="190"/>
      <c r="AT13" s="23"/>
      <c r="AU13" s="97">
        <v>250</v>
      </c>
      <c r="AV13" s="23" t="s">
        <v>80</v>
      </c>
      <c r="AW13" s="321"/>
      <c r="AX13" s="23"/>
      <c r="AY13" s="97">
        <v>50</v>
      </c>
      <c r="AZ13" s="23" t="s">
        <v>80</v>
      </c>
      <c r="BA13" s="321"/>
      <c r="BB13" s="23"/>
      <c r="BC13" s="97">
        <v>50</v>
      </c>
      <c r="BD13" s="23" t="s">
        <v>80</v>
      </c>
      <c r="BE13" s="321"/>
      <c r="BF13" s="23"/>
      <c r="BG13" s="97">
        <v>50</v>
      </c>
      <c r="BH13" s="23" t="s">
        <v>80</v>
      </c>
      <c r="BI13" s="321"/>
      <c r="BJ13" s="23"/>
      <c r="BK13" s="97">
        <v>50</v>
      </c>
      <c r="BL13" s="23" t="s">
        <v>80</v>
      </c>
      <c r="BM13" s="321"/>
      <c r="BN13" s="23"/>
      <c r="BO13" s="97">
        <v>30</v>
      </c>
      <c r="BP13" s="23" t="s">
        <v>80</v>
      </c>
      <c r="BQ13" s="321"/>
      <c r="BR13" s="23"/>
      <c r="BS13" s="190"/>
      <c r="BT13" s="23"/>
      <c r="BU13" s="190"/>
      <c r="BV13" s="23"/>
      <c r="BW13" s="97">
        <f t="shared" si="7"/>
        <v>500</v>
      </c>
      <c r="BX13" s="384"/>
      <c r="BY13" s="110"/>
      <c r="BZ13" s="45"/>
      <c r="CA13" s="45"/>
      <c r="CB13" s="97"/>
      <c r="CC13" s="45"/>
      <c r="CD13" s="546"/>
      <c r="CE13" s="546"/>
      <c r="CF13" s="110"/>
      <c r="CG13" s="45"/>
      <c r="CH13" s="45"/>
      <c r="CI13" s="97"/>
      <c r="CJ13" s="45"/>
      <c r="CK13" s="546"/>
      <c r="CL13" s="546"/>
      <c r="CM13" s="110"/>
      <c r="CN13" s="45"/>
      <c r="CO13" s="45"/>
      <c r="CP13" s="97"/>
      <c r="CQ13" s="45"/>
      <c r="CR13" s="546"/>
      <c r="CS13" s="546"/>
      <c r="CT13" s="110"/>
      <c r="CU13" s="45"/>
      <c r="CV13" s="45"/>
      <c r="CW13" s="97"/>
      <c r="CX13" s="45"/>
      <c r="CY13" s="546"/>
      <c r="CZ13" s="546"/>
      <c r="DA13" s="110"/>
      <c r="DB13" s="45"/>
      <c r="DC13" s="45"/>
      <c r="DD13" s="97"/>
      <c r="DE13" s="45"/>
      <c r="DF13" s="546"/>
      <c r="DG13" s="546"/>
      <c r="DH13" s="110"/>
      <c r="DI13" s="45"/>
      <c r="DJ13" s="45"/>
      <c r="DK13" s="97"/>
      <c r="DL13" s="45"/>
      <c r="DM13" s="546"/>
      <c r="DN13" s="546"/>
    </row>
    <row r="14" spans="2:118" s="124" customFormat="1" ht="51">
      <c r="B14" s="535"/>
      <c r="C14" s="527"/>
      <c r="D14" s="264" t="s">
        <v>100</v>
      </c>
      <c r="E14" s="431">
        <v>0.01</v>
      </c>
      <c r="F14" s="187" t="s">
        <v>90</v>
      </c>
      <c r="G14" s="187" t="s">
        <v>74</v>
      </c>
      <c r="H14" s="187" t="s">
        <v>101</v>
      </c>
      <c r="I14" s="187" t="s">
        <v>102</v>
      </c>
      <c r="J14" s="385" t="s">
        <v>103</v>
      </c>
      <c r="K14" s="192">
        <v>44713</v>
      </c>
      <c r="L14" s="192">
        <v>45992</v>
      </c>
      <c r="M14" s="193" t="s">
        <v>97</v>
      </c>
      <c r="N14" s="193" t="s">
        <v>104</v>
      </c>
      <c r="O14" s="193" t="s">
        <v>105</v>
      </c>
      <c r="P14" s="193" t="s">
        <v>87</v>
      </c>
      <c r="Q14" s="196">
        <v>10107</v>
      </c>
      <c r="R14" s="197">
        <v>2021</v>
      </c>
      <c r="S14" s="196">
        <f>+Q14+1000</f>
        <v>11107</v>
      </c>
      <c r="T14" s="196">
        <f>+S14+1000</f>
        <v>12107</v>
      </c>
      <c r="U14" s="196">
        <f>+T14+1000</f>
        <v>13107</v>
      </c>
      <c r="V14" s="196">
        <f>+U14+1000</f>
        <v>14107</v>
      </c>
      <c r="W14" s="189"/>
      <c r="X14" s="189"/>
      <c r="Y14" s="189"/>
      <c r="Z14" s="189"/>
      <c r="AA14" s="189"/>
      <c r="AB14" s="196">
        <f>+V14</f>
        <v>14107</v>
      </c>
      <c r="AC14" s="328">
        <v>500</v>
      </c>
      <c r="AD14" s="328">
        <v>500</v>
      </c>
      <c r="AE14" s="328">
        <v>500</v>
      </c>
      <c r="AF14" s="328">
        <v>500</v>
      </c>
      <c r="AG14" s="328"/>
      <c r="AH14" s="328"/>
      <c r="AI14" s="328"/>
      <c r="AJ14" s="328"/>
      <c r="AK14" s="328"/>
      <c r="AL14" s="454">
        <f t="shared" si="8"/>
        <v>2000</v>
      </c>
      <c r="AM14" s="253">
        <v>500</v>
      </c>
      <c r="AN14" s="23" t="s">
        <v>80</v>
      </c>
      <c r="AO14" s="190"/>
      <c r="AP14" s="23"/>
      <c r="AQ14" s="253">
        <v>500</v>
      </c>
      <c r="AR14" s="23" t="s">
        <v>80</v>
      </c>
      <c r="AS14" s="190"/>
      <c r="AT14" s="23"/>
      <c r="AU14" s="253">
        <v>500</v>
      </c>
      <c r="AV14" s="23" t="s">
        <v>80</v>
      </c>
      <c r="AW14" s="321"/>
      <c r="AX14" s="23"/>
      <c r="AY14" s="253">
        <v>500</v>
      </c>
      <c r="AZ14" s="23" t="s">
        <v>80</v>
      </c>
      <c r="BA14" s="321"/>
      <c r="BB14" s="23"/>
      <c r="BC14" s="321"/>
      <c r="BD14" s="23"/>
      <c r="BE14" s="321"/>
      <c r="BF14" s="23"/>
      <c r="BG14" s="321"/>
      <c r="BH14" s="23"/>
      <c r="BI14" s="321"/>
      <c r="BJ14" s="23"/>
      <c r="BK14" s="321"/>
      <c r="BL14" s="23"/>
      <c r="BM14" s="321"/>
      <c r="BN14" s="23"/>
      <c r="BO14" s="321"/>
      <c r="BP14" s="23"/>
      <c r="BQ14" s="321"/>
      <c r="BR14" s="23"/>
      <c r="BS14" s="190"/>
      <c r="BT14" s="23"/>
      <c r="BU14" s="190"/>
      <c r="BV14" s="23"/>
      <c r="BW14" s="97">
        <f t="shared" si="7"/>
        <v>2000</v>
      </c>
      <c r="BX14" s="384"/>
      <c r="BY14" s="110"/>
      <c r="BZ14" s="45"/>
      <c r="CA14" s="45"/>
      <c r="CB14" s="97"/>
      <c r="CC14" s="45"/>
      <c r="CD14" s="546"/>
      <c r="CE14" s="546"/>
      <c r="CF14" s="110"/>
      <c r="CG14" s="45"/>
      <c r="CH14" s="45"/>
      <c r="CI14" s="97"/>
      <c r="CJ14" s="45"/>
      <c r="CK14" s="546"/>
      <c r="CL14" s="546"/>
      <c r="CM14" s="110"/>
      <c r="CN14" s="45"/>
      <c r="CO14" s="45"/>
      <c r="CP14" s="97"/>
      <c r="CQ14" s="45"/>
      <c r="CR14" s="546"/>
      <c r="CS14" s="546"/>
      <c r="CT14" s="110"/>
      <c r="CU14" s="45"/>
      <c r="CV14" s="45"/>
      <c r="CW14" s="97"/>
      <c r="CX14" s="45"/>
      <c r="CY14" s="546"/>
      <c r="CZ14" s="546"/>
      <c r="DA14" s="110"/>
      <c r="DB14" s="45"/>
      <c r="DC14" s="45"/>
      <c r="DD14" s="97"/>
      <c r="DE14" s="45"/>
      <c r="DF14" s="546"/>
      <c r="DG14" s="546"/>
      <c r="DH14" s="110"/>
      <c r="DI14" s="45"/>
      <c r="DJ14" s="45"/>
      <c r="DK14" s="97"/>
      <c r="DL14" s="45"/>
      <c r="DM14" s="546"/>
      <c r="DN14" s="546"/>
    </row>
    <row r="15" spans="2:118" s="124" customFormat="1" ht="51">
      <c r="B15" s="535"/>
      <c r="C15" s="527"/>
      <c r="D15" s="264" t="s">
        <v>106</v>
      </c>
      <c r="E15" s="431">
        <v>0.01</v>
      </c>
      <c r="F15" s="187" t="s">
        <v>980</v>
      </c>
      <c r="G15" s="187" t="s">
        <v>74</v>
      </c>
      <c r="H15" s="187" t="s">
        <v>96</v>
      </c>
      <c r="I15" s="187" t="s">
        <v>84</v>
      </c>
      <c r="J15" s="385" t="s">
        <v>85</v>
      </c>
      <c r="K15" s="192">
        <v>44927</v>
      </c>
      <c r="L15" s="156">
        <v>47848</v>
      </c>
      <c r="M15" s="193" t="s">
        <v>97</v>
      </c>
      <c r="N15" s="193" t="s">
        <v>107</v>
      </c>
      <c r="O15" s="193" t="s">
        <v>108</v>
      </c>
      <c r="P15" s="193" t="s">
        <v>87</v>
      </c>
      <c r="Q15" s="196">
        <v>0</v>
      </c>
      <c r="R15" s="197">
        <v>2022</v>
      </c>
      <c r="S15" s="195"/>
      <c r="T15" s="194">
        <v>600</v>
      </c>
      <c r="U15" s="194">
        <v>1200</v>
      </c>
      <c r="V15" s="194">
        <v>1800</v>
      </c>
      <c r="W15" s="194">
        <v>2400</v>
      </c>
      <c r="X15" s="194">
        <v>3000</v>
      </c>
      <c r="Y15" s="194">
        <v>3600</v>
      </c>
      <c r="Z15" s="194">
        <v>4200</v>
      </c>
      <c r="AA15" s="194">
        <v>4800</v>
      </c>
      <c r="AB15" s="194">
        <v>4800</v>
      </c>
      <c r="AC15" s="328"/>
      <c r="AD15" s="328">
        <v>500</v>
      </c>
      <c r="AE15" s="328">
        <v>500</v>
      </c>
      <c r="AF15" s="328">
        <v>500</v>
      </c>
      <c r="AG15" s="328">
        <v>500</v>
      </c>
      <c r="AH15" s="328">
        <v>500</v>
      </c>
      <c r="AI15" s="328">
        <v>500</v>
      </c>
      <c r="AJ15" s="328">
        <v>500</v>
      </c>
      <c r="AK15" s="328">
        <v>500</v>
      </c>
      <c r="AL15" s="454">
        <f t="shared" si="8"/>
        <v>4000</v>
      </c>
      <c r="AM15" s="190"/>
      <c r="AN15" s="194"/>
      <c r="AO15" s="190"/>
      <c r="AP15" s="194"/>
      <c r="AQ15" s="214">
        <v>500</v>
      </c>
      <c r="AR15" s="194" t="s">
        <v>80</v>
      </c>
      <c r="AS15" s="190"/>
      <c r="AT15" s="194"/>
      <c r="AU15" s="214">
        <v>500</v>
      </c>
      <c r="AV15" s="194" t="s">
        <v>80</v>
      </c>
      <c r="AW15" s="321"/>
      <c r="AX15" s="194"/>
      <c r="AY15" s="214">
        <v>500</v>
      </c>
      <c r="AZ15" s="194" t="s">
        <v>80</v>
      </c>
      <c r="BA15" s="321"/>
      <c r="BB15" s="194"/>
      <c r="BC15" s="214">
        <v>500</v>
      </c>
      <c r="BD15" s="194" t="s">
        <v>80</v>
      </c>
      <c r="BE15" s="321"/>
      <c r="BF15" s="194"/>
      <c r="BG15" s="214">
        <v>500</v>
      </c>
      <c r="BH15" s="194" t="s">
        <v>80</v>
      </c>
      <c r="BI15" s="321"/>
      <c r="BJ15" s="194"/>
      <c r="BK15" s="214">
        <v>500</v>
      </c>
      <c r="BL15" s="194" t="s">
        <v>80</v>
      </c>
      <c r="BM15" s="321"/>
      <c r="BN15" s="194"/>
      <c r="BO15" s="214">
        <v>500</v>
      </c>
      <c r="BP15" s="194" t="s">
        <v>80</v>
      </c>
      <c r="BQ15" s="321"/>
      <c r="BR15" s="194"/>
      <c r="BS15" s="214">
        <v>500</v>
      </c>
      <c r="BT15" s="194" t="s">
        <v>80</v>
      </c>
      <c r="BU15" s="190"/>
      <c r="BV15" s="194"/>
      <c r="BW15" s="97">
        <f t="shared" si="7"/>
        <v>4000</v>
      </c>
      <c r="BX15" s="384"/>
      <c r="BY15" s="110"/>
      <c r="BZ15" s="45"/>
      <c r="CA15" s="45"/>
      <c r="CB15" s="97"/>
      <c r="CC15" s="45"/>
      <c r="CD15" s="546"/>
      <c r="CE15" s="546"/>
      <c r="CF15" s="110"/>
      <c r="CG15" s="45"/>
      <c r="CH15" s="45"/>
      <c r="CI15" s="97"/>
      <c r="CJ15" s="45"/>
      <c r="CK15" s="546"/>
      <c r="CL15" s="546"/>
      <c r="CM15" s="110"/>
      <c r="CN15" s="45"/>
      <c r="CO15" s="45"/>
      <c r="CP15" s="97"/>
      <c r="CQ15" s="45"/>
      <c r="CR15" s="546"/>
      <c r="CS15" s="546"/>
      <c r="CT15" s="110"/>
      <c r="CU15" s="45"/>
      <c r="CV15" s="45"/>
      <c r="CW15" s="97"/>
      <c r="CX15" s="45"/>
      <c r="CY15" s="546"/>
      <c r="CZ15" s="546"/>
      <c r="DA15" s="110"/>
      <c r="DB15" s="45"/>
      <c r="DC15" s="45"/>
      <c r="DD15" s="97"/>
      <c r="DE15" s="45"/>
      <c r="DF15" s="546"/>
      <c r="DG15" s="546"/>
      <c r="DH15" s="110"/>
      <c r="DI15" s="45"/>
      <c r="DJ15" s="45"/>
      <c r="DK15" s="97"/>
      <c r="DL15" s="45"/>
      <c r="DM15" s="546"/>
      <c r="DN15" s="546"/>
    </row>
    <row r="16" spans="2:118" s="124" customFormat="1" ht="63.75">
      <c r="B16" s="535"/>
      <c r="C16" s="527"/>
      <c r="D16" s="264" t="s">
        <v>109</v>
      </c>
      <c r="E16" s="431">
        <v>0.01</v>
      </c>
      <c r="F16" s="187" t="s">
        <v>90</v>
      </c>
      <c r="G16" s="187" t="s">
        <v>110</v>
      </c>
      <c r="H16" s="187" t="s">
        <v>111</v>
      </c>
      <c r="I16" s="187" t="s">
        <v>112</v>
      </c>
      <c r="J16" s="385" t="s">
        <v>113</v>
      </c>
      <c r="K16" s="192">
        <v>44713</v>
      </c>
      <c r="L16" s="192">
        <v>46387</v>
      </c>
      <c r="M16" s="193" t="s">
        <v>78</v>
      </c>
      <c r="N16" s="193" t="s">
        <v>1191</v>
      </c>
      <c r="O16" s="193" t="s">
        <v>1192</v>
      </c>
      <c r="P16" s="193" t="s">
        <v>87</v>
      </c>
      <c r="Q16" s="23">
        <v>1</v>
      </c>
      <c r="R16" s="200">
        <v>2021</v>
      </c>
      <c r="S16" s="23">
        <v>1</v>
      </c>
      <c r="T16" s="23">
        <v>2</v>
      </c>
      <c r="U16" s="23">
        <v>3</v>
      </c>
      <c r="V16" s="23">
        <v>4</v>
      </c>
      <c r="W16" s="23">
        <v>5</v>
      </c>
      <c r="X16" s="23"/>
      <c r="Y16" s="23"/>
      <c r="Z16" s="23"/>
      <c r="AA16" s="23"/>
      <c r="AB16" s="23">
        <v>5</v>
      </c>
      <c r="AC16" s="328">
        <v>7.54</v>
      </c>
      <c r="AD16" s="328">
        <v>7.8415999999999997</v>
      </c>
      <c r="AE16" s="328">
        <v>8.155263999999999</v>
      </c>
      <c r="AF16" s="328">
        <v>8.4814745599999988</v>
      </c>
      <c r="AG16" s="328">
        <v>8.8207335423999993</v>
      </c>
      <c r="AH16" s="328"/>
      <c r="AI16" s="328"/>
      <c r="AJ16" s="328"/>
      <c r="AK16" s="328"/>
      <c r="AL16" s="454">
        <f t="shared" si="8"/>
        <v>40.839072102399996</v>
      </c>
      <c r="AM16" s="271">
        <v>7.54</v>
      </c>
      <c r="AN16" s="272" t="s">
        <v>114</v>
      </c>
      <c r="AO16" s="273"/>
      <c r="AP16" s="272" t="s">
        <v>114</v>
      </c>
      <c r="AQ16" s="271">
        <v>7.8415999999999997</v>
      </c>
      <c r="AR16" s="272" t="s">
        <v>114</v>
      </c>
      <c r="AS16" s="273"/>
      <c r="AT16" s="272"/>
      <c r="AU16" s="271">
        <v>8.155263999999999</v>
      </c>
      <c r="AV16" s="272" t="s">
        <v>114</v>
      </c>
      <c r="AW16" s="273"/>
      <c r="AX16" s="272"/>
      <c r="AY16" s="271">
        <v>8.4814745599999988</v>
      </c>
      <c r="AZ16" s="272" t="s">
        <v>114</v>
      </c>
      <c r="BA16" s="273"/>
      <c r="BB16" s="273"/>
      <c r="BC16" s="271">
        <v>8.8207335423999993</v>
      </c>
      <c r="BD16" s="272" t="s">
        <v>114</v>
      </c>
      <c r="BE16" s="273"/>
      <c r="BF16" s="23"/>
      <c r="BG16" s="321"/>
      <c r="BH16" s="23"/>
      <c r="BI16" s="321"/>
      <c r="BJ16" s="23"/>
      <c r="BK16" s="321"/>
      <c r="BL16" s="23"/>
      <c r="BM16" s="321"/>
      <c r="BN16" s="23"/>
      <c r="BO16" s="321"/>
      <c r="BP16" s="23"/>
      <c r="BQ16" s="321"/>
      <c r="BR16" s="23"/>
      <c r="BS16" s="190"/>
      <c r="BT16" s="23"/>
      <c r="BU16" s="190"/>
      <c r="BV16" s="23"/>
      <c r="BW16" s="309">
        <f t="shared" si="7"/>
        <v>40.839072102399996</v>
      </c>
      <c r="BX16" s="384"/>
      <c r="BY16" s="110"/>
      <c r="BZ16" s="45"/>
      <c r="CA16" s="45"/>
      <c r="CB16" s="97"/>
      <c r="CC16" s="45"/>
      <c r="CD16" s="546"/>
      <c r="CE16" s="546"/>
      <c r="CF16" s="110"/>
      <c r="CG16" s="45"/>
      <c r="CH16" s="45"/>
      <c r="CI16" s="97"/>
      <c r="CJ16" s="45"/>
      <c r="CK16" s="546"/>
      <c r="CL16" s="546"/>
      <c r="CM16" s="110"/>
      <c r="CN16" s="45"/>
      <c r="CO16" s="45"/>
      <c r="CP16" s="97"/>
      <c r="CQ16" s="45"/>
      <c r="CR16" s="546"/>
      <c r="CS16" s="546"/>
      <c r="CT16" s="110"/>
      <c r="CU16" s="45"/>
      <c r="CV16" s="45"/>
      <c r="CW16" s="97"/>
      <c r="CX16" s="45"/>
      <c r="CY16" s="546"/>
      <c r="CZ16" s="546"/>
      <c r="DA16" s="110"/>
      <c r="DB16" s="45"/>
      <c r="DC16" s="45"/>
      <c r="DD16" s="97"/>
      <c r="DE16" s="45"/>
      <c r="DF16" s="546"/>
      <c r="DG16" s="546"/>
      <c r="DH16" s="110"/>
      <c r="DI16" s="45"/>
      <c r="DJ16" s="45"/>
      <c r="DK16" s="97"/>
      <c r="DL16" s="45"/>
      <c r="DM16" s="546"/>
      <c r="DN16" s="546"/>
    </row>
    <row r="17" spans="2:118" s="124" customFormat="1" ht="114.75">
      <c r="B17" s="535"/>
      <c r="C17" s="527"/>
      <c r="D17" s="264" t="s">
        <v>115</v>
      </c>
      <c r="E17" s="431">
        <v>0.01</v>
      </c>
      <c r="F17" s="187" t="s">
        <v>90</v>
      </c>
      <c r="G17" s="187" t="s">
        <v>110</v>
      </c>
      <c r="H17" s="187" t="s">
        <v>1193</v>
      </c>
      <c r="I17" s="187" t="s">
        <v>116</v>
      </c>
      <c r="J17" s="385" t="s">
        <v>117</v>
      </c>
      <c r="K17" s="192">
        <v>44743</v>
      </c>
      <c r="L17" s="192">
        <v>46387</v>
      </c>
      <c r="M17" s="193" t="s">
        <v>78</v>
      </c>
      <c r="N17" s="193" t="s">
        <v>118</v>
      </c>
      <c r="O17" s="193" t="s">
        <v>1194</v>
      </c>
      <c r="P17" s="193" t="s">
        <v>87</v>
      </c>
      <c r="Q17" s="45">
        <v>0</v>
      </c>
      <c r="R17" s="200">
        <v>2022</v>
      </c>
      <c r="S17" s="203">
        <v>0.1</v>
      </c>
      <c r="T17" s="203">
        <v>0.4</v>
      </c>
      <c r="U17" s="203">
        <v>0.6</v>
      </c>
      <c r="V17" s="203">
        <v>0.8</v>
      </c>
      <c r="W17" s="203">
        <v>1</v>
      </c>
      <c r="X17" s="23"/>
      <c r="Y17" s="23"/>
      <c r="Z17" s="23"/>
      <c r="AA17" s="23"/>
      <c r="AB17" s="203">
        <v>1</v>
      </c>
      <c r="AC17" s="328">
        <v>18.399999999999999</v>
      </c>
      <c r="AD17" s="328">
        <v>18.899999999999999</v>
      </c>
      <c r="AE17" s="328">
        <v>19.5</v>
      </c>
      <c r="AF17" s="328">
        <v>20.5</v>
      </c>
      <c r="AG17" s="328">
        <v>21.5</v>
      </c>
      <c r="AH17" s="328"/>
      <c r="AI17" s="328"/>
      <c r="AJ17" s="328"/>
      <c r="AK17" s="328"/>
      <c r="AL17" s="454">
        <f t="shared" si="8"/>
        <v>98.8</v>
      </c>
      <c r="AM17" s="274">
        <v>18.399999999999999</v>
      </c>
      <c r="AN17" s="272" t="s">
        <v>119</v>
      </c>
      <c r="AO17" s="273"/>
      <c r="AP17" s="272"/>
      <c r="AQ17" s="274">
        <v>18.899999999999999</v>
      </c>
      <c r="AR17" s="272" t="s">
        <v>119</v>
      </c>
      <c r="AS17" s="273"/>
      <c r="AT17" s="272"/>
      <c r="AU17" s="274">
        <v>19.5</v>
      </c>
      <c r="AV17" s="272" t="s">
        <v>119</v>
      </c>
      <c r="AW17" s="273"/>
      <c r="AX17" s="272"/>
      <c r="AY17" s="274">
        <v>20.5</v>
      </c>
      <c r="AZ17" s="272" t="s">
        <v>119</v>
      </c>
      <c r="BA17" s="273"/>
      <c r="BB17" s="273"/>
      <c r="BC17" s="274">
        <v>21.5</v>
      </c>
      <c r="BD17" s="272" t="s">
        <v>119</v>
      </c>
      <c r="BE17" s="321"/>
      <c r="BF17" s="23"/>
      <c r="BG17" s="321"/>
      <c r="BH17" s="23"/>
      <c r="BI17" s="321"/>
      <c r="BJ17" s="23"/>
      <c r="BK17" s="321"/>
      <c r="BL17" s="23"/>
      <c r="BM17" s="321"/>
      <c r="BN17" s="23"/>
      <c r="BO17" s="321"/>
      <c r="BP17" s="23"/>
      <c r="BQ17" s="321"/>
      <c r="BR17" s="23"/>
      <c r="BS17" s="190"/>
      <c r="BT17" s="23"/>
      <c r="BU17" s="190"/>
      <c r="BV17" s="23"/>
      <c r="BW17" s="97">
        <f t="shared" si="7"/>
        <v>98.8</v>
      </c>
      <c r="BX17" s="384"/>
      <c r="BY17" s="110"/>
      <c r="BZ17" s="45"/>
      <c r="CA17" s="45"/>
      <c r="CB17" s="97"/>
      <c r="CC17" s="45"/>
      <c r="CD17" s="546"/>
      <c r="CE17" s="546"/>
      <c r="CF17" s="110"/>
      <c r="CG17" s="45"/>
      <c r="CH17" s="45"/>
      <c r="CI17" s="97"/>
      <c r="CJ17" s="45"/>
      <c r="CK17" s="546"/>
      <c r="CL17" s="546"/>
      <c r="CM17" s="110"/>
      <c r="CN17" s="45"/>
      <c r="CO17" s="45"/>
      <c r="CP17" s="97"/>
      <c r="CQ17" s="45"/>
      <c r="CR17" s="546"/>
      <c r="CS17" s="546"/>
      <c r="CT17" s="110"/>
      <c r="CU17" s="45"/>
      <c r="CV17" s="45"/>
      <c r="CW17" s="97"/>
      <c r="CX17" s="45"/>
      <c r="CY17" s="546"/>
      <c r="CZ17" s="546"/>
      <c r="DA17" s="110"/>
      <c r="DB17" s="45"/>
      <c r="DC17" s="45"/>
      <c r="DD17" s="97"/>
      <c r="DE17" s="45"/>
      <c r="DF17" s="546"/>
      <c r="DG17" s="546"/>
      <c r="DH17" s="110"/>
      <c r="DI17" s="45"/>
      <c r="DJ17" s="45"/>
      <c r="DK17" s="97"/>
      <c r="DL17" s="45"/>
      <c r="DM17" s="546"/>
      <c r="DN17" s="546"/>
    </row>
    <row r="18" spans="2:118" s="360" customFormat="1" ht="140.25">
      <c r="B18" s="535"/>
      <c r="C18" s="527"/>
      <c r="D18" s="264" t="s">
        <v>1195</v>
      </c>
      <c r="E18" s="431">
        <v>5.0000000000000001E-3</v>
      </c>
      <c r="F18" s="438" t="s">
        <v>90</v>
      </c>
      <c r="G18" s="438" t="s">
        <v>120</v>
      </c>
      <c r="H18" s="438" t="s">
        <v>121</v>
      </c>
      <c r="I18" s="438" t="s">
        <v>122</v>
      </c>
      <c r="J18" s="385" t="s">
        <v>123</v>
      </c>
      <c r="K18" s="362">
        <v>44774</v>
      </c>
      <c r="L18" s="156">
        <v>47848</v>
      </c>
      <c r="M18" s="315" t="s">
        <v>97</v>
      </c>
      <c r="N18" s="315" t="s">
        <v>124</v>
      </c>
      <c r="O18" s="315" t="s">
        <v>981</v>
      </c>
      <c r="P18" s="315" t="s">
        <v>125</v>
      </c>
      <c r="Q18" s="270">
        <v>0</v>
      </c>
      <c r="R18" s="200">
        <v>2022</v>
      </c>
      <c r="S18" s="270">
        <v>1</v>
      </c>
      <c r="T18" s="270">
        <v>1</v>
      </c>
      <c r="U18" s="270">
        <v>1</v>
      </c>
      <c r="V18" s="270">
        <v>1</v>
      </c>
      <c r="W18" s="270">
        <v>1</v>
      </c>
      <c r="X18" s="270">
        <v>1</v>
      </c>
      <c r="Y18" s="270">
        <v>1</v>
      </c>
      <c r="Z18" s="270">
        <v>1</v>
      </c>
      <c r="AA18" s="270">
        <v>1</v>
      </c>
      <c r="AB18" s="270">
        <v>1</v>
      </c>
      <c r="AC18" s="328">
        <v>10</v>
      </c>
      <c r="AD18" s="328">
        <v>10</v>
      </c>
      <c r="AE18" s="328">
        <v>10</v>
      </c>
      <c r="AF18" s="328">
        <v>10</v>
      </c>
      <c r="AG18" s="328">
        <v>10</v>
      </c>
      <c r="AH18" s="328">
        <v>10</v>
      </c>
      <c r="AI18" s="328">
        <v>10</v>
      </c>
      <c r="AJ18" s="328">
        <v>10</v>
      </c>
      <c r="AK18" s="328">
        <v>10</v>
      </c>
      <c r="AL18" s="387">
        <f t="shared" si="8"/>
        <v>90</v>
      </c>
      <c r="AM18" s="97">
        <v>10</v>
      </c>
      <c r="AN18" s="23" t="s">
        <v>126</v>
      </c>
      <c r="AO18" s="190"/>
      <c r="AP18" s="23"/>
      <c r="AQ18" s="97">
        <v>10</v>
      </c>
      <c r="AR18" s="23" t="s">
        <v>126</v>
      </c>
      <c r="AS18" s="190"/>
      <c r="AT18" s="23"/>
      <c r="AU18" s="97">
        <v>10</v>
      </c>
      <c r="AV18" s="23" t="s">
        <v>126</v>
      </c>
      <c r="AW18" s="190"/>
      <c r="AX18" s="23"/>
      <c r="AY18" s="97">
        <v>10</v>
      </c>
      <c r="AZ18" s="23" t="s">
        <v>126</v>
      </c>
      <c r="BA18" s="190"/>
      <c r="BB18" s="23"/>
      <c r="BC18" s="97">
        <v>10</v>
      </c>
      <c r="BD18" s="23" t="s">
        <v>126</v>
      </c>
      <c r="BE18" s="190"/>
      <c r="BF18" s="23"/>
      <c r="BG18" s="97">
        <v>10</v>
      </c>
      <c r="BH18" s="23" t="s">
        <v>126</v>
      </c>
      <c r="BI18" s="190"/>
      <c r="BJ18" s="23"/>
      <c r="BK18" s="97">
        <v>10</v>
      </c>
      <c r="BL18" s="23" t="s">
        <v>126</v>
      </c>
      <c r="BM18" s="190"/>
      <c r="BN18" s="23"/>
      <c r="BO18" s="97">
        <v>10</v>
      </c>
      <c r="BP18" s="23" t="s">
        <v>126</v>
      </c>
      <c r="BQ18" s="190"/>
      <c r="BR18" s="23"/>
      <c r="BS18" s="97">
        <v>10</v>
      </c>
      <c r="BT18" s="23" t="s">
        <v>126</v>
      </c>
      <c r="BU18" s="190"/>
      <c r="BV18" s="23"/>
      <c r="BW18" s="97">
        <f t="shared" si="7"/>
        <v>90</v>
      </c>
      <c r="BX18" s="384"/>
      <c r="BY18" s="313"/>
      <c r="BZ18" s="45"/>
      <c r="CA18" s="45"/>
      <c r="CB18" s="97"/>
      <c r="CC18" s="45"/>
      <c r="CD18" s="546"/>
      <c r="CE18" s="546"/>
      <c r="CF18" s="313"/>
      <c r="CG18" s="45"/>
      <c r="CH18" s="45"/>
      <c r="CI18" s="97"/>
      <c r="CJ18" s="45"/>
      <c r="CK18" s="546"/>
      <c r="CL18" s="546"/>
      <c r="CM18" s="313"/>
      <c r="CN18" s="45"/>
      <c r="CO18" s="45"/>
      <c r="CP18" s="97"/>
      <c r="CQ18" s="45"/>
      <c r="CR18" s="546"/>
      <c r="CS18" s="546"/>
      <c r="CT18" s="313"/>
      <c r="CU18" s="45"/>
      <c r="CV18" s="45"/>
      <c r="CW18" s="97"/>
      <c r="CX18" s="45"/>
      <c r="CY18" s="546"/>
      <c r="CZ18" s="546"/>
      <c r="DA18" s="313"/>
      <c r="DB18" s="45"/>
      <c r="DC18" s="45"/>
      <c r="DD18" s="97"/>
      <c r="DE18" s="45"/>
      <c r="DF18" s="546"/>
      <c r="DG18" s="546"/>
      <c r="DH18" s="313"/>
      <c r="DI18" s="45"/>
      <c r="DJ18" s="45"/>
      <c r="DK18" s="97"/>
      <c r="DL18" s="45"/>
      <c r="DM18" s="546"/>
      <c r="DN18" s="546"/>
    </row>
    <row r="19" spans="2:118" s="124" customFormat="1" ht="51">
      <c r="B19" s="535"/>
      <c r="C19" s="527"/>
      <c r="D19" s="264" t="s">
        <v>127</v>
      </c>
      <c r="E19" s="431">
        <v>1E-3</v>
      </c>
      <c r="F19" s="187" t="s">
        <v>90</v>
      </c>
      <c r="G19" s="187" t="s">
        <v>120</v>
      </c>
      <c r="H19" s="187" t="s">
        <v>128</v>
      </c>
      <c r="I19" s="187" t="s">
        <v>129</v>
      </c>
      <c r="J19" s="385" t="s">
        <v>130</v>
      </c>
      <c r="K19" s="156">
        <v>44927</v>
      </c>
      <c r="L19" s="156">
        <v>47848</v>
      </c>
      <c r="M19" s="193" t="s">
        <v>78</v>
      </c>
      <c r="N19" s="193" t="s">
        <v>131</v>
      </c>
      <c r="O19" s="193" t="s">
        <v>132</v>
      </c>
      <c r="P19" s="193" t="s">
        <v>87</v>
      </c>
      <c r="Q19" s="23">
        <v>0</v>
      </c>
      <c r="R19" s="200">
        <v>2022</v>
      </c>
      <c r="S19" s="23"/>
      <c r="T19" s="23">
        <v>1</v>
      </c>
      <c r="U19" s="23">
        <v>2</v>
      </c>
      <c r="V19" s="23">
        <v>3</v>
      </c>
      <c r="W19" s="23">
        <v>4</v>
      </c>
      <c r="X19" s="23">
        <v>5</v>
      </c>
      <c r="Y19" s="23">
        <v>6</v>
      </c>
      <c r="Z19" s="23">
        <v>7</v>
      </c>
      <c r="AA19" s="23">
        <v>8</v>
      </c>
      <c r="AB19" s="23">
        <v>8</v>
      </c>
      <c r="AC19" s="328"/>
      <c r="AD19" s="328">
        <v>5</v>
      </c>
      <c r="AE19" s="328">
        <v>5</v>
      </c>
      <c r="AF19" s="328">
        <v>5</v>
      </c>
      <c r="AG19" s="328">
        <v>5</v>
      </c>
      <c r="AH19" s="328">
        <v>5</v>
      </c>
      <c r="AI19" s="328">
        <v>5</v>
      </c>
      <c r="AJ19" s="328">
        <v>5</v>
      </c>
      <c r="AK19" s="328">
        <v>5</v>
      </c>
      <c r="AL19" s="454">
        <f t="shared" si="8"/>
        <v>40</v>
      </c>
      <c r="AM19" s="97"/>
      <c r="AN19" s="23"/>
      <c r="AO19" s="190"/>
      <c r="AP19" s="23"/>
      <c r="AQ19" s="97">
        <v>5</v>
      </c>
      <c r="AR19" s="23" t="s">
        <v>126</v>
      </c>
      <c r="AS19" s="190"/>
      <c r="AT19" s="23"/>
      <c r="AU19" s="97">
        <v>5</v>
      </c>
      <c r="AV19" s="23" t="s">
        <v>126</v>
      </c>
      <c r="AW19" s="321"/>
      <c r="AX19" s="23"/>
      <c r="AY19" s="97">
        <v>5</v>
      </c>
      <c r="AZ19" s="23" t="s">
        <v>126</v>
      </c>
      <c r="BA19" s="321"/>
      <c r="BB19" s="23"/>
      <c r="BC19" s="97">
        <v>5</v>
      </c>
      <c r="BD19" s="23" t="s">
        <v>126</v>
      </c>
      <c r="BE19" s="321"/>
      <c r="BF19" s="23"/>
      <c r="BG19" s="97">
        <v>5</v>
      </c>
      <c r="BH19" s="23" t="s">
        <v>126</v>
      </c>
      <c r="BI19" s="321"/>
      <c r="BJ19" s="23"/>
      <c r="BK19" s="97">
        <v>5</v>
      </c>
      <c r="BL19" s="23" t="s">
        <v>126</v>
      </c>
      <c r="BM19" s="321"/>
      <c r="BN19" s="23"/>
      <c r="BO19" s="97">
        <v>5</v>
      </c>
      <c r="BP19" s="23" t="s">
        <v>126</v>
      </c>
      <c r="BQ19" s="321"/>
      <c r="BR19" s="23"/>
      <c r="BS19" s="97">
        <v>5</v>
      </c>
      <c r="BT19" s="23" t="s">
        <v>126</v>
      </c>
      <c r="BU19" s="190"/>
      <c r="BV19" s="23"/>
      <c r="BW19" s="97">
        <f t="shared" si="7"/>
        <v>40</v>
      </c>
      <c r="BX19" s="384"/>
      <c r="BY19" s="110"/>
      <c r="BZ19" s="45"/>
      <c r="CA19" s="45"/>
      <c r="CB19" s="97"/>
      <c r="CC19" s="45"/>
      <c r="CD19" s="546"/>
      <c r="CE19" s="546"/>
      <c r="CF19" s="110"/>
      <c r="CG19" s="45"/>
      <c r="CH19" s="45"/>
      <c r="CI19" s="97"/>
      <c r="CJ19" s="45"/>
      <c r="CK19" s="546"/>
      <c r="CL19" s="546"/>
      <c r="CM19" s="110"/>
      <c r="CN19" s="45"/>
      <c r="CO19" s="45"/>
      <c r="CP19" s="97"/>
      <c r="CQ19" s="45"/>
      <c r="CR19" s="546"/>
      <c r="CS19" s="546"/>
      <c r="CT19" s="110"/>
      <c r="CU19" s="45"/>
      <c r="CV19" s="45"/>
      <c r="CW19" s="97"/>
      <c r="CX19" s="45"/>
      <c r="CY19" s="546"/>
      <c r="CZ19" s="546"/>
      <c r="DA19" s="110"/>
      <c r="DB19" s="45"/>
      <c r="DC19" s="45"/>
      <c r="DD19" s="97"/>
      <c r="DE19" s="45"/>
      <c r="DF19" s="546"/>
      <c r="DG19" s="546"/>
      <c r="DH19" s="110"/>
      <c r="DI19" s="45"/>
      <c r="DJ19" s="45"/>
      <c r="DK19" s="97"/>
      <c r="DL19" s="45"/>
      <c r="DM19" s="546"/>
      <c r="DN19" s="546"/>
    </row>
    <row r="20" spans="2:118" s="124" customFormat="1" ht="63.75">
      <c r="B20" s="535"/>
      <c r="C20" s="527"/>
      <c r="D20" s="264" t="s">
        <v>133</v>
      </c>
      <c r="E20" s="431">
        <v>1E-3</v>
      </c>
      <c r="F20" s="187" t="s">
        <v>90</v>
      </c>
      <c r="G20" s="187" t="s">
        <v>74</v>
      </c>
      <c r="H20" s="136" t="s">
        <v>75</v>
      </c>
      <c r="I20" s="136" t="s">
        <v>76</v>
      </c>
      <c r="J20" s="385" t="s">
        <v>77</v>
      </c>
      <c r="K20" s="156">
        <v>44774</v>
      </c>
      <c r="L20" s="156">
        <v>46752</v>
      </c>
      <c r="M20" s="136" t="s">
        <v>78</v>
      </c>
      <c r="N20" s="136" t="s">
        <v>134</v>
      </c>
      <c r="O20" s="136" t="s">
        <v>135</v>
      </c>
      <c r="P20" s="136" t="s">
        <v>87</v>
      </c>
      <c r="Q20" s="136">
        <v>0</v>
      </c>
      <c r="R20" s="136">
        <v>2022</v>
      </c>
      <c r="S20" s="136">
        <v>1</v>
      </c>
      <c r="T20" s="136">
        <v>2</v>
      </c>
      <c r="U20" s="136">
        <v>3</v>
      </c>
      <c r="V20" s="136">
        <v>4</v>
      </c>
      <c r="W20" s="136">
        <v>5</v>
      </c>
      <c r="X20" s="136">
        <v>6</v>
      </c>
      <c r="Y20" s="136" t="s">
        <v>81</v>
      </c>
      <c r="Z20" s="136" t="s">
        <v>81</v>
      </c>
      <c r="AA20" s="136" t="s">
        <v>81</v>
      </c>
      <c r="AB20" s="136">
        <v>6</v>
      </c>
      <c r="AC20" s="331">
        <v>50</v>
      </c>
      <c r="AD20" s="328">
        <v>50</v>
      </c>
      <c r="AE20" s="331">
        <v>50</v>
      </c>
      <c r="AF20" s="331">
        <v>50</v>
      </c>
      <c r="AG20" s="331">
        <v>50</v>
      </c>
      <c r="AH20" s="331">
        <v>50</v>
      </c>
      <c r="AI20" s="328"/>
      <c r="AJ20" s="328"/>
      <c r="AK20" s="328"/>
      <c r="AL20" s="454">
        <f t="shared" si="8"/>
        <v>300</v>
      </c>
      <c r="AM20" s="97">
        <v>50</v>
      </c>
      <c r="AN20" s="23" t="s">
        <v>80</v>
      </c>
      <c r="AO20" s="190"/>
      <c r="AP20" s="23"/>
      <c r="AQ20" s="97">
        <v>50</v>
      </c>
      <c r="AR20" s="23" t="s">
        <v>80</v>
      </c>
      <c r="AS20" s="190"/>
      <c r="AT20" s="23"/>
      <c r="AU20" s="97">
        <v>50</v>
      </c>
      <c r="AV20" s="23" t="s">
        <v>80</v>
      </c>
      <c r="AW20" s="321"/>
      <c r="AX20" s="23"/>
      <c r="AY20" s="97">
        <v>50</v>
      </c>
      <c r="AZ20" s="23" t="s">
        <v>80</v>
      </c>
      <c r="BA20" s="321"/>
      <c r="BB20" s="23"/>
      <c r="BC20" s="97">
        <v>50</v>
      </c>
      <c r="BD20" s="23" t="s">
        <v>80</v>
      </c>
      <c r="BE20" s="321"/>
      <c r="BF20" s="23"/>
      <c r="BG20" s="97">
        <v>50</v>
      </c>
      <c r="BH20" s="23" t="s">
        <v>80</v>
      </c>
      <c r="BI20" s="321"/>
      <c r="BJ20" s="23"/>
      <c r="BK20" s="321"/>
      <c r="BL20" s="23"/>
      <c r="BM20" s="321"/>
      <c r="BN20" s="23"/>
      <c r="BO20" s="321"/>
      <c r="BP20" s="23"/>
      <c r="BQ20" s="321"/>
      <c r="BR20" s="23"/>
      <c r="BS20" s="190"/>
      <c r="BT20" s="23"/>
      <c r="BU20" s="190"/>
      <c r="BV20" s="23"/>
      <c r="BW20" s="97">
        <f t="shared" si="7"/>
        <v>300</v>
      </c>
      <c r="BX20" s="384"/>
      <c r="BY20" s="110"/>
      <c r="BZ20" s="45"/>
      <c r="CA20" s="45"/>
      <c r="CB20" s="97"/>
      <c r="CC20" s="45"/>
      <c r="CD20" s="546"/>
      <c r="CE20" s="546"/>
      <c r="CF20" s="110"/>
      <c r="CG20" s="45"/>
      <c r="CH20" s="45"/>
      <c r="CI20" s="97"/>
      <c r="CJ20" s="45"/>
      <c r="CK20" s="546"/>
      <c r="CL20" s="546"/>
      <c r="CM20" s="110"/>
      <c r="CN20" s="45"/>
      <c r="CO20" s="45"/>
      <c r="CP20" s="97"/>
      <c r="CQ20" s="45"/>
      <c r="CR20" s="546"/>
      <c r="CS20" s="546"/>
      <c r="CT20" s="110"/>
      <c r="CU20" s="45"/>
      <c r="CV20" s="45"/>
      <c r="CW20" s="97"/>
      <c r="CX20" s="45"/>
      <c r="CY20" s="546"/>
      <c r="CZ20" s="546"/>
      <c r="DA20" s="110"/>
      <c r="DB20" s="45"/>
      <c r="DC20" s="45"/>
      <c r="DD20" s="97"/>
      <c r="DE20" s="45"/>
      <c r="DF20" s="546"/>
      <c r="DG20" s="546"/>
      <c r="DH20" s="110"/>
      <c r="DI20" s="45"/>
      <c r="DJ20" s="45"/>
      <c r="DK20" s="97"/>
      <c r="DL20" s="45"/>
      <c r="DM20" s="546"/>
      <c r="DN20" s="546"/>
    </row>
    <row r="21" spans="2:118" s="360" customFormat="1" ht="76.5">
      <c r="B21" s="535"/>
      <c r="C21" s="527"/>
      <c r="D21" s="264" t="s">
        <v>136</v>
      </c>
      <c r="E21" s="431">
        <v>1E-3</v>
      </c>
      <c r="F21" s="438" t="s">
        <v>90</v>
      </c>
      <c r="G21" s="438" t="s">
        <v>137</v>
      </c>
      <c r="H21" s="438" t="s">
        <v>138</v>
      </c>
      <c r="I21" s="438" t="s">
        <v>139</v>
      </c>
      <c r="J21" s="385" t="s">
        <v>140</v>
      </c>
      <c r="K21" s="361">
        <v>44927</v>
      </c>
      <c r="L21" s="361">
        <v>45303</v>
      </c>
      <c r="M21" s="315" t="s">
        <v>97</v>
      </c>
      <c r="N21" s="315" t="s">
        <v>141</v>
      </c>
      <c r="O21" s="315" t="s">
        <v>982</v>
      </c>
      <c r="P21" s="315" t="s">
        <v>87</v>
      </c>
      <c r="Q21" s="45">
        <v>0.1</v>
      </c>
      <c r="R21" s="244">
        <v>2021</v>
      </c>
      <c r="S21" s="45"/>
      <c r="T21" s="325">
        <v>0.6</v>
      </c>
      <c r="U21" s="325">
        <v>1</v>
      </c>
      <c r="V21" s="325"/>
      <c r="W21" s="321"/>
      <c r="X21" s="321"/>
      <c r="Y21" s="321"/>
      <c r="Z21" s="321"/>
      <c r="AA21" s="321"/>
      <c r="AB21" s="325">
        <v>1</v>
      </c>
      <c r="AC21" s="328"/>
      <c r="AD21" s="328"/>
      <c r="AE21" s="328"/>
      <c r="AF21" s="328"/>
      <c r="AG21" s="328"/>
      <c r="AH21" s="328"/>
      <c r="AI21" s="328"/>
      <c r="AJ21" s="328"/>
      <c r="AK21" s="328"/>
      <c r="AL21" s="387" t="str">
        <f t="shared" si="8"/>
        <v/>
      </c>
      <c r="AM21" s="190"/>
      <c r="AN21" s="23"/>
      <c r="AO21" s="190"/>
      <c r="AP21" s="23"/>
      <c r="AQ21" s="190"/>
      <c r="AR21" s="23" t="s">
        <v>88</v>
      </c>
      <c r="AS21" s="190"/>
      <c r="AT21" s="23"/>
      <c r="AU21" s="321"/>
      <c r="AV21" s="23" t="s">
        <v>88</v>
      </c>
      <c r="AW21" s="321"/>
      <c r="AX21" s="23"/>
      <c r="AY21" s="321"/>
      <c r="AZ21" s="23"/>
      <c r="BA21" s="321"/>
      <c r="BB21" s="23"/>
      <c r="BC21" s="321"/>
      <c r="BD21" s="23"/>
      <c r="BE21" s="321"/>
      <c r="BF21" s="23"/>
      <c r="BG21" s="321"/>
      <c r="BH21" s="23"/>
      <c r="BI21" s="321"/>
      <c r="BJ21" s="23"/>
      <c r="BK21" s="321"/>
      <c r="BL21" s="23"/>
      <c r="BM21" s="321"/>
      <c r="BN21" s="23"/>
      <c r="BO21" s="321"/>
      <c r="BP21" s="23"/>
      <c r="BQ21" s="321"/>
      <c r="BR21" s="23"/>
      <c r="BS21" s="190"/>
      <c r="BT21" s="23"/>
      <c r="BU21" s="190"/>
      <c r="BV21" s="23"/>
      <c r="BW21" s="97" t="str">
        <f t="shared" si="7"/>
        <v/>
      </c>
      <c r="BX21" s="384"/>
      <c r="BY21" s="313"/>
      <c r="BZ21" s="45"/>
      <c r="CA21" s="45"/>
      <c r="CB21" s="97"/>
      <c r="CC21" s="45"/>
      <c r="CD21" s="546"/>
      <c r="CE21" s="546"/>
      <c r="CF21" s="313"/>
      <c r="CG21" s="45"/>
      <c r="CH21" s="45"/>
      <c r="CI21" s="97"/>
      <c r="CJ21" s="45"/>
      <c r="CK21" s="546"/>
      <c r="CL21" s="546"/>
      <c r="CM21" s="313"/>
      <c r="CN21" s="45"/>
      <c r="CO21" s="45"/>
      <c r="CP21" s="97"/>
      <c r="CQ21" s="45"/>
      <c r="CR21" s="546"/>
      <c r="CS21" s="546"/>
      <c r="CT21" s="313"/>
      <c r="CU21" s="45"/>
      <c r="CV21" s="45"/>
      <c r="CW21" s="97"/>
      <c r="CX21" s="45"/>
      <c r="CY21" s="546"/>
      <c r="CZ21" s="546"/>
      <c r="DA21" s="313"/>
      <c r="DB21" s="45"/>
      <c r="DC21" s="45"/>
      <c r="DD21" s="97"/>
      <c r="DE21" s="45"/>
      <c r="DF21" s="546"/>
      <c r="DG21" s="546"/>
      <c r="DH21" s="313"/>
      <c r="DI21" s="45"/>
      <c r="DJ21" s="45"/>
      <c r="DK21" s="97"/>
      <c r="DL21" s="45"/>
      <c r="DM21" s="546"/>
      <c r="DN21" s="546"/>
    </row>
    <row r="22" spans="2:118" s="360" customFormat="1" ht="89.25">
      <c r="B22" s="535"/>
      <c r="C22" s="527"/>
      <c r="D22" s="264" t="s">
        <v>142</v>
      </c>
      <c r="E22" s="431">
        <v>1E-3</v>
      </c>
      <c r="F22" s="438" t="s">
        <v>90</v>
      </c>
      <c r="G22" s="438" t="s">
        <v>120</v>
      </c>
      <c r="H22" s="438" t="s">
        <v>143</v>
      </c>
      <c r="I22" s="438" t="s">
        <v>144</v>
      </c>
      <c r="J22" s="385" t="s">
        <v>145</v>
      </c>
      <c r="K22" s="362">
        <v>44927</v>
      </c>
      <c r="L22" s="192">
        <v>46022</v>
      </c>
      <c r="M22" s="315" t="s">
        <v>78</v>
      </c>
      <c r="N22" s="315" t="s">
        <v>146</v>
      </c>
      <c r="O22" s="315" t="s">
        <v>1196</v>
      </c>
      <c r="P22" s="315" t="s">
        <v>87</v>
      </c>
      <c r="Q22" s="270">
        <v>0</v>
      </c>
      <c r="R22" s="200">
        <v>2022</v>
      </c>
      <c r="S22" s="270"/>
      <c r="T22" s="270">
        <v>0.4</v>
      </c>
      <c r="U22" s="270">
        <v>0.8</v>
      </c>
      <c r="V22" s="270">
        <v>1</v>
      </c>
      <c r="W22" s="270"/>
      <c r="X22" s="270"/>
      <c r="Y22" s="270"/>
      <c r="Z22" s="270"/>
      <c r="AA22" s="270"/>
      <c r="AB22" s="270">
        <v>1</v>
      </c>
      <c r="AC22" s="328"/>
      <c r="AD22" s="328">
        <v>5</v>
      </c>
      <c r="AE22" s="328">
        <v>5</v>
      </c>
      <c r="AF22" s="328">
        <v>5</v>
      </c>
      <c r="AG22" s="328"/>
      <c r="AH22" s="328"/>
      <c r="AI22" s="328"/>
      <c r="AJ22" s="328"/>
      <c r="AK22" s="328"/>
      <c r="AL22" s="387">
        <f t="shared" si="8"/>
        <v>15</v>
      </c>
      <c r="AM22" s="97"/>
      <c r="AN22" s="23"/>
      <c r="AO22" s="190"/>
      <c r="AP22" s="23"/>
      <c r="AQ22" s="97">
        <v>5</v>
      </c>
      <c r="AR22" s="23" t="s">
        <v>126</v>
      </c>
      <c r="AS22" s="190"/>
      <c r="AT22" s="23"/>
      <c r="AU22" s="97">
        <v>5</v>
      </c>
      <c r="AV22" s="23" t="s">
        <v>126</v>
      </c>
      <c r="AW22" s="321"/>
      <c r="AX22" s="23"/>
      <c r="AY22" s="97">
        <v>5</v>
      </c>
      <c r="AZ22" s="23" t="s">
        <v>126</v>
      </c>
      <c r="BA22" s="321"/>
      <c r="BB22" s="23"/>
      <c r="BC22" s="97"/>
      <c r="BD22" s="23"/>
      <c r="BE22" s="321"/>
      <c r="BF22" s="23"/>
      <c r="BG22" s="97"/>
      <c r="BH22" s="23"/>
      <c r="BI22" s="321"/>
      <c r="BJ22" s="23"/>
      <c r="BK22" s="97"/>
      <c r="BL22" s="23"/>
      <c r="BM22" s="321"/>
      <c r="BN22" s="23"/>
      <c r="BO22" s="97"/>
      <c r="BP22" s="23"/>
      <c r="BQ22" s="321"/>
      <c r="BR22" s="23"/>
      <c r="BS22" s="97"/>
      <c r="BT22" s="23"/>
      <c r="BU22" s="190"/>
      <c r="BV22" s="23"/>
      <c r="BW22" s="97">
        <f t="shared" si="7"/>
        <v>15</v>
      </c>
      <c r="BX22" s="384"/>
      <c r="BY22" s="313"/>
      <c r="BZ22" s="45"/>
      <c r="CA22" s="45"/>
      <c r="CB22" s="97"/>
      <c r="CC22" s="45"/>
      <c r="CD22" s="546"/>
      <c r="CE22" s="546"/>
      <c r="CF22" s="313"/>
      <c r="CG22" s="45"/>
      <c r="CH22" s="45"/>
      <c r="CI22" s="97"/>
      <c r="CJ22" s="45"/>
      <c r="CK22" s="546"/>
      <c r="CL22" s="546"/>
      <c r="CM22" s="313"/>
      <c r="CN22" s="45"/>
      <c r="CO22" s="45"/>
      <c r="CP22" s="97"/>
      <c r="CQ22" s="45"/>
      <c r="CR22" s="546"/>
      <c r="CS22" s="546"/>
      <c r="CT22" s="313"/>
      <c r="CU22" s="45"/>
      <c r="CV22" s="45"/>
      <c r="CW22" s="97"/>
      <c r="CX22" s="45"/>
      <c r="CY22" s="546"/>
      <c r="CZ22" s="546"/>
      <c r="DA22" s="313"/>
      <c r="DB22" s="45"/>
      <c r="DC22" s="45"/>
      <c r="DD22" s="97"/>
      <c r="DE22" s="45"/>
      <c r="DF22" s="546"/>
      <c r="DG22" s="546"/>
      <c r="DH22" s="313"/>
      <c r="DI22" s="45"/>
      <c r="DJ22" s="45"/>
      <c r="DK22" s="97"/>
      <c r="DL22" s="45"/>
      <c r="DM22" s="546"/>
      <c r="DN22" s="546"/>
    </row>
    <row r="23" spans="2:118" s="360" customFormat="1" ht="59.45" customHeight="1">
      <c r="B23" s="535"/>
      <c r="C23" s="527"/>
      <c r="D23" s="264" t="s">
        <v>1444</v>
      </c>
      <c r="E23" s="431">
        <v>1E-3</v>
      </c>
      <c r="F23" s="438" t="s">
        <v>1442</v>
      </c>
      <c r="G23" s="367" t="s">
        <v>74</v>
      </c>
      <c r="H23" s="367" t="s">
        <v>1428</v>
      </c>
      <c r="I23" s="316" t="s">
        <v>1426</v>
      </c>
      <c r="J23" s="441" t="s">
        <v>1427</v>
      </c>
      <c r="K23" s="362">
        <v>44782</v>
      </c>
      <c r="L23" s="362">
        <v>47847</v>
      </c>
      <c r="M23" s="338" t="s">
        <v>97</v>
      </c>
      <c r="N23" s="367" t="s">
        <v>1439</v>
      </c>
      <c r="O23" s="367" t="s">
        <v>1445</v>
      </c>
      <c r="P23" s="367" t="s">
        <v>125</v>
      </c>
      <c r="Q23" s="442">
        <v>200000</v>
      </c>
      <c r="R23" s="422">
        <v>2020</v>
      </c>
      <c r="S23" s="391">
        <v>360705</v>
      </c>
      <c r="T23" s="391">
        <v>361066</v>
      </c>
      <c r="U23" s="391">
        <v>361427</v>
      </c>
      <c r="V23" s="391">
        <v>361788</v>
      </c>
      <c r="W23" s="391">
        <v>362150</v>
      </c>
      <c r="X23" s="391">
        <v>362512</v>
      </c>
      <c r="Y23" s="391">
        <v>362875</v>
      </c>
      <c r="Z23" s="391">
        <v>363237</v>
      </c>
      <c r="AA23" s="391">
        <v>363601</v>
      </c>
      <c r="AB23" s="391">
        <v>362151</v>
      </c>
      <c r="AC23" s="443">
        <v>363300</v>
      </c>
      <c r="AD23" s="443">
        <v>374199</v>
      </c>
      <c r="AE23" s="443">
        <v>385424.97000000003</v>
      </c>
      <c r="AF23" s="443">
        <v>396987.71909999999</v>
      </c>
      <c r="AG23" s="443">
        <v>408897.35067300004</v>
      </c>
      <c r="AH23" s="443">
        <v>421164.27119319001</v>
      </c>
      <c r="AI23" s="443">
        <v>433799.19932898571</v>
      </c>
      <c r="AJ23" s="443">
        <v>446813.17530885525</v>
      </c>
      <c r="AK23" s="443">
        <v>460217.57056812086</v>
      </c>
      <c r="AL23" s="444">
        <f>IF(SUM(AC23:AK23)=0,"",SUM(AC23:AK23))</f>
        <v>3690803.2561721518</v>
      </c>
      <c r="AM23" s="443">
        <v>363300</v>
      </c>
      <c r="AN23" s="396" t="s">
        <v>114</v>
      </c>
      <c r="AO23" s="396"/>
      <c r="AP23" s="396"/>
      <c r="AQ23" s="443">
        <v>374199</v>
      </c>
      <c r="AR23" s="396" t="s">
        <v>114</v>
      </c>
      <c r="AS23" s="396"/>
      <c r="AT23" s="396"/>
      <c r="AU23" s="443">
        <v>385424.97000000003</v>
      </c>
      <c r="AV23" s="396" t="s">
        <v>114</v>
      </c>
      <c r="AW23" s="396"/>
      <c r="AX23" s="396"/>
      <c r="AY23" s="443">
        <v>396987.71909999999</v>
      </c>
      <c r="AZ23" s="396" t="s">
        <v>114</v>
      </c>
      <c r="BA23" s="396"/>
      <c r="BB23" s="396"/>
      <c r="BC23" s="443">
        <v>408897.35067300004</v>
      </c>
      <c r="BD23" s="396" t="s">
        <v>114</v>
      </c>
      <c r="BE23" s="396"/>
      <c r="BF23" s="396"/>
      <c r="BG23" s="443">
        <v>421164.27119319001</v>
      </c>
      <c r="BH23" s="396" t="s">
        <v>114</v>
      </c>
      <c r="BI23" s="396"/>
      <c r="BJ23" s="396"/>
      <c r="BK23" s="443">
        <v>433799.19932898571</v>
      </c>
      <c r="BL23" s="396" t="s">
        <v>114</v>
      </c>
      <c r="BM23" s="396"/>
      <c r="BN23" s="396"/>
      <c r="BO23" s="443">
        <v>446813.17530885525</v>
      </c>
      <c r="BP23" s="396" t="s">
        <v>114</v>
      </c>
      <c r="BQ23" s="396"/>
      <c r="BR23" s="396"/>
      <c r="BS23" s="443">
        <v>460217.57056812086</v>
      </c>
      <c r="BT23" s="396" t="s">
        <v>114</v>
      </c>
      <c r="BU23" s="190"/>
      <c r="BV23" s="23"/>
      <c r="BW23" s="97">
        <f t="shared" si="7"/>
        <v>3690803.2561721518</v>
      </c>
      <c r="BX23" s="384"/>
      <c r="BY23" s="439"/>
      <c r="BZ23" s="45"/>
      <c r="CA23" s="45"/>
      <c r="CB23" s="97"/>
      <c r="CC23" s="45"/>
      <c r="CD23" s="546"/>
      <c r="CE23" s="546"/>
      <c r="CF23" s="439"/>
      <c r="CG23" s="45"/>
      <c r="CH23" s="45"/>
      <c r="CI23" s="97"/>
      <c r="CJ23" s="45"/>
      <c r="CK23" s="546"/>
      <c r="CL23" s="546"/>
      <c r="CM23" s="439"/>
      <c r="CN23" s="45"/>
      <c r="CO23" s="45"/>
      <c r="CP23" s="97"/>
      <c r="CQ23" s="45"/>
      <c r="CR23" s="546"/>
      <c r="CS23" s="546"/>
      <c r="CT23" s="439"/>
      <c r="CU23" s="45"/>
      <c r="CV23" s="45"/>
      <c r="CW23" s="97"/>
      <c r="CX23" s="45"/>
      <c r="CY23" s="546"/>
      <c r="CZ23" s="546"/>
      <c r="DA23" s="439"/>
      <c r="DB23" s="45"/>
      <c r="DC23" s="45"/>
      <c r="DD23" s="97"/>
      <c r="DE23" s="45"/>
      <c r="DF23" s="546"/>
      <c r="DG23" s="546"/>
      <c r="DH23" s="439"/>
      <c r="DI23" s="45"/>
      <c r="DJ23" s="45"/>
      <c r="DK23" s="97"/>
      <c r="DL23" s="45"/>
      <c r="DM23" s="546"/>
      <c r="DN23" s="546"/>
    </row>
    <row r="24" spans="2:118" s="360" customFormat="1" ht="140.25">
      <c r="B24" s="535"/>
      <c r="C24" s="527"/>
      <c r="D24" s="346" t="s">
        <v>1336</v>
      </c>
      <c r="E24" s="431">
        <v>0.02</v>
      </c>
      <c r="F24" s="438" t="s">
        <v>1414</v>
      </c>
      <c r="G24" s="316" t="s">
        <v>984</v>
      </c>
      <c r="H24" s="316" t="s">
        <v>985</v>
      </c>
      <c r="I24" s="316" t="s">
        <v>986</v>
      </c>
      <c r="J24" s="385" t="s">
        <v>987</v>
      </c>
      <c r="K24" s="362">
        <v>44959</v>
      </c>
      <c r="L24" s="362">
        <v>47848</v>
      </c>
      <c r="M24" s="315" t="s">
        <v>97</v>
      </c>
      <c r="N24" s="316" t="s">
        <v>1330</v>
      </c>
      <c r="O24" s="316" t="s">
        <v>1446</v>
      </c>
      <c r="P24" s="316" t="s">
        <v>87</v>
      </c>
      <c r="Q24" s="247">
        <v>0</v>
      </c>
      <c r="R24" s="280">
        <v>2022</v>
      </c>
      <c r="S24" s="367"/>
      <c r="T24" s="367">
        <v>0.2</v>
      </c>
      <c r="U24" s="367">
        <v>0.5</v>
      </c>
      <c r="V24" s="367">
        <v>0.55000000000000004</v>
      </c>
      <c r="W24" s="367">
        <v>0.65</v>
      </c>
      <c r="X24" s="367">
        <v>0.75</v>
      </c>
      <c r="Y24" s="367">
        <v>0.85</v>
      </c>
      <c r="Z24" s="367">
        <v>0.95</v>
      </c>
      <c r="AA24" s="367">
        <v>1</v>
      </c>
      <c r="AB24" s="367">
        <v>1</v>
      </c>
      <c r="AC24" s="328"/>
      <c r="AD24" s="328"/>
      <c r="AE24" s="328"/>
      <c r="AF24" s="328"/>
      <c r="AG24" s="328"/>
      <c r="AH24" s="328"/>
      <c r="AI24" s="328"/>
      <c r="AJ24" s="328"/>
      <c r="AK24" s="328"/>
      <c r="AL24" s="387" t="str">
        <f t="shared" si="8"/>
        <v/>
      </c>
      <c r="AM24" s="190"/>
      <c r="AN24" s="23"/>
      <c r="AO24" s="190"/>
      <c r="AP24" s="23"/>
      <c r="AQ24" s="190"/>
      <c r="AR24" s="23" t="s">
        <v>88</v>
      </c>
      <c r="AS24" s="190"/>
      <c r="AT24" s="23"/>
      <c r="AU24" s="190"/>
      <c r="AV24" s="23" t="s">
        <v>88</v>
      </c>
      <c r="AW24" s="190"/>
      <c r="AX24" s="23"/>
      <c r="AY24" s="190"/>
      <c r="AZ24" s="23" t="s">
        <v>88</v>
      </c>
      <c r="BA24" s="190"/>
      <c r="BB24" s="23"/>
      <c r="BC24" s="190"/>
      <c r="BD24" s="23" t="s">
        <v>88</v>
      </c>
      <c r="BE24" s="190"/>
      <c r="BF24" s="23"/>
      <c r="BG24" s="190"/>
      <c r="BH24" s="23" t="s">
        <v>88</v>
      </c>
      <c r="BI24" s="190"/>
      <c r="BJ24" s="23"/>
      <c r="BK24" s="190"/>
      <c r="BL24" s="23" t="s">
        <v>88</v>
      </c>
      <c r="BM24" s="190"/>
      <c r="BN24" s="23"/>
      <c r="BO24" s="190"/>
      <c r="BP24" s="23" t="s">
        <v>88</v>
      </c>
      <c r="BQ24" s="190"/>
      <c r="BR24" s="23"/>
      <c r="BS24" s="190"/>
      <c r="BT24" s="23" t="s">
        <v>88</v>
      </c>
      <c r="BU24" s="190"/>
      <c r="BV24" s="23"/>
      <c r="BW24" s="97" t="str">
        <f t="shared" si="7"/>
        <v/>
      </c>
      <c r="BX24" s="384"/>
      <c r="BY24" s="439"/>
      <c r="BZ24" s="45"/>
      <c r="CA24" s="45"/>
      <c r="CB24" s="97"/>
      <c r="CC24" s="45"/>
      <c r="CD24" s="546"/>
      <c r="CE24" s="546"/>
      <c r="CF24" s="439"/>
      <c r="CG24" s="45"/>
      <c r="CH24" s="45"/>
      <c r="CI24" s="97"/>
      <c r="CJ24" s="45"/>
      <c r="CK24" s="546"/>
      <c r="CL24" s="546"/>
      <c r="CM24" s="439"/>
      <c r="CN24" s="45"/>
      <c r="CO24" s="45"/>
      <c r="CP24" s="97"/>
      <c r="CQ24" s="45"/>
      <c r="CR24" s="546"/>
      <c r="CS24" s="546"/>
      <c r="CT24" s="439"/>
      <c r="CU24" s="45"/>
      <c r="CV24" s="45"/>
      <c r="CW24" s="97"/>
      <c r="CX24" s="45"/>
      <c r="CY24" s="546"/>
      <c r="CZ24" s="546"/>
      <c r="DA24" s="439"/>
      <c r="DB24" s="45"/>
      <c r="DC24" s="45"/>
      <c r="DD24" s="97"/>
      <c r="DE24" s="45"/>
      <c r="DF24" s="546"/>
      <c r="DG24" s="546"/>
      <c r="DH24" s="439"/>
      <c r="DI24" s="45"/>
      <c r="DJ24" s="45"/>
      <c r="DK24" s="97"/>
      <c r="DL24" s="45"/>
      <c r="DM24" s="546"/>
      <c r="DN24" s="546"/>
    </row>
    <row r="25" spans="2:118" s="360" customFormat="1" ht="76.5">
      <c r="B25" s="535"/>
      <c r="C25" s="527"/>
      <c r="D25" s="346" t="s">
        <v>1337</v>
      </c>
      <c r="E25" s="431">
        <v>1.7000000000000001E-2</v>
      </c>
      <c r="F25" s="438" t="s">
        <v>983</v>
      </c>
      <c r="G25" s="438" t="s">
        <v>147</v>
      </c>
      <c r="H25" s="438" t="s">
        <v>148</v>
      </c>
      <c r="I25" s="438" t="s">
        <v>149</v>
      </c>
      <c r="J25" s="385" t="s">
        <v>150</v>
      </c>
      <c r="K25" s="362">
        <v>44713</v>
      </c>
      <c r="L25" s="156">
        <v>47848</v>
      </c>
      <c r="M25" s="438" t="s">
        <v>97</v>
      </c>
      <c r="N25" s="438" t="s">
        <v>151</v>
      </c>
      <c r="O25" s="438" t="s">
        <v>988</v>
      </c>
      <c r="P25" s="315" t="s">
        <v>87</v>
      </c>
      <c r="Q25" s="194">
        <v>64291</v>
      </c>
      <c r="R25" s="194">
        <v>2021</v>
      </c>
      <c r="S25" s="194">
        <v>17700</v>
      </c>
      <c r="T25" s="194">
        <v>51200</v>
      </c>
      <c r="U25" s="194">
        <v>84700</v>
      </c>
      <c r="V25" s="194">
        <v>118200</v>
      </c>
      <c r="W25" s="194">
        <v>136200</v>
      </c>
      <c r="X25" s="194">
        <v>169700</v>
      </c>
      <c r="Y25" s="194">
        <v>203200</v>
      </c>
      <c r="Z25" s="194">
        <v>236700</v>
      </c>
      <c r="AA25" s="194">
        <v>270200</v>
      </c>
      <c r="AB25" s="194">
        <v>270200</v>
      </c>
      <c r="AC25" s="328"/>
      <c r="AD25" s="328"/>
      <c r="AE25" s="328"/>
      <c r="AF25" s="328"/>
      <c r="AG25" s="328"/>
      <c r="AH25" s="328">
        <v>9482</v>
      </c>
      <c r="AI25" s="328">
        <v>9752</v>
      </c>
      <c r="AJ25" s="328">
        <v>10022</v>
      </c>
      <c r="AK25" s="328">
        <v>10022</v>
      </c>
      <c r="AL25" s="387">
        <f t="shared" si="8"/>
        <v>39278</v>
      </c>
      <c r="AM25" s="190"/>
      <c r="AN25" s="23" t="s">
        <v>88</v>
      </c>
      <c r="AO25" s="190"/>
      <c r="AP25" s="194"/>
      <c r="AQ25" s="190"/>
      <c r="AR25" s="23" t="s">
        <v>88</v>
      </c>
      <c r="AS25" s="190"/>
      <c r="AT25" s="194"/>
      <c r="AU25" s="190"/>
      <c r="AV25" s="23" t="s">
        <v>88</v>
      </c>
      <c r="AW25" s="321"/>
      <c r="AX25" s="194"/>
      <c r="AY25" s="190"/>
      <c r="AZ25" s="23" t="s">
        <v>88</v>
      </c>
      <c r="BA25" s="321"/>
      <c r="BB25" s="194"/>
      <c r="BC25" s="190"/>
      <c r="BD25" s="23" t="s">
        <v>88</v>
      </c>
      <c r="BE25" s="190"/>
      <c r="BF25" s="23"/>
      <c r="BG25" s="190">
        <f>+AH25</f>
        <v>9482</v>
      </c>
      <c r="BH25" s="194" t="s">
        <v>114</v>
      </c>
      <c r="BI25" s="190"/>
      <c r="BJ25" s="23"/>
      <c r="BK25" s="190">
        <f>+AI25</f>
        <v>9752</v>
      </c>
      <c r="BL25" s="194" t="s">
        <v>114</v>
      </c>
      <c r="BM25" s="190"/>
      <c r="BN25" s="23"/>
      <c r="BO25" s="190">
        <f>+AJ25</f>
        <v>10022</v>
      </c>
      <c r="BP25" s="194" t="s">
        <v>114</v>
      </c>
      <c r="BQ25" s="190"/>
      <c r="BR25" s="23"/>
      <c r="BS25" s="190">
        <f>+AK25</f>
        <v>10022</v>
      </c>
      <c r="BT25" s="194" t="s">
        <v>114</v>
      </c>
      <c r="BU25" s="190"/>
      <c r="BV25" s="23"/>
      <c r="BW25" s="97">
        <f t="shared" si="7"/>
        <v>39278</v>
      </c>
      <c r="BX25" s="384"/>
      <c r="BY25" s="313"/>
      <c r="BZ25" s="45"/>
      <c r="CA25" s="45"/>
      <c r="CB25" s="97"/>
      <c r="CC25" s="45"/>
      <c r="CD25" s="546"/>
      <c r="CE25" s="546"/>
      <c r="CF25" s="313"/>
      <c r="CG25" s="45"/>
      <c r="CH25" s="45"/>
      <c r="CI25" s="97"/>
      <c r="CJ25" s="45"/>
      <c r="CK25" s="546"/>
      <c r="CL25" s="546"/>
      <c r="CM25" s="313"/>
      <c r="CN25" s="45"/>
      <c r="CO25" s="45"/>
      <c r="CP25" s="97"/>
      <c r="CQ25" s="45"/>
      <c r="CR25" s="546"/>
      <c r="CS25" s="546"/>
      <c r="CT25" s="313"/>
      <c r="CU25" s="45"/>
      <c r="CV25" s="45"/>
      <c r="CW25" s="97"/>
      <c r="CX25" s="45"/>
      <c r="CY25" s="546"/>
      <c r="CZ25" s="546"/>
      <c r="DA25" s="313"/>
      <c r="DB25" s="45"/>
      <c r="DC25" s="45"/>
      <c r="DD25" s="97"/>
      <c r="DE25" s="45"/>
      <c r="DF25" s="546"/>
      <c r="DG25" s="546"/>
      <c r="DH25" s="313"/>
      <c r="DI25" s="45"/>
      <c r="DJ25" s="45"/>
      <c r="DK25" s="97"/>
      <c r="DL25" s="45"/>
      <c r="DM25" s="546"/>
      <c r="DN25" s="546"/>
    </row>
    <row r="26" spans="2:118" s="360" customFormat="1" ht="114.75">
      <c r="B26" s="535"/>
      <c r="C26" s="527"/>
      <c r="D26" s="346" t="s">
        <v>1338</v>
      </c>
      <c r="E26" s="431">
        <v>0.02</v>
      </c>
      <c r="F26" s="438" t="s">
        <v>90</v>
      </c>
      <c r="G26" s="438" t="s">
        <v>152</v>
      </c>
      <c r="H26" s="438" t="s">
        <v>153</v>
      </c>
      <c r="I26" s="438" t="s">
        <v>1327</v>
      </c>
      <c r="J26" s="385" t="s">
        <v>154</v>
      </c>
      <c r="K26" s="361">
        <v>45078</v>
      </c>
      <c r="L26" s="361">
        <v>45657</v>
      </c>
      <c r="M26" s="338" t="s">
        <v>97</v>
      </c>
      <c r="N26" s="316" t="s">
        <v>1328</v>
      </c>
      <c r="O26" s="316" t="s">
        <v>1329</v>
      </c>
      <c r="P26" s="338" t="s">
        <v>87</v>
      </c>
      <c r="Q26" s="372">
        <v>0</v>
      </c>
      <c r="R26" s="338">
        <v>2022</v>
      </c>
      <c r="S26" s="372"/>
      <c r="T26" s="372">
        <v>0.3</v>
      </c>
      <c r="U26" s="372">
        <v>1</v>
      </c>
      <c r="V26" s="194"/>
      <c r="W26" s="194"/>
      <c r="X26" s="194"/>
      <c r="Y26" s="194"/>
      <c r="Z26" s="363"/>
      <c r="AA26" s="363"/>
      <c r="AB26" s="372">
        <v>1</v>
      </c>
      <c r="AC26" s="328"/>
      <c r="AD26" s="328"/>
      <c r="AE26" s="328"/>
      <c r="AF26" s="328"/>
      <c r="AG26" s="328"/>
      <c r="AH26" s="328"/>
      <c r="AI26" s="328"/>
      <c r="AJ26" s="328"/>
      <c r="AK26" s="328"/>
      <c r="AL26" s="387" t="str">
        <f t="shared" si="8"/>
        <v/>
      </c>
      <c r="AM26" s="190"/>
      <c r="AN26" s="316"/>
      <c r="AO26" s="190"/>
      <c r="AP26" s="194"/>
      <c r="AQ26" s="190"/>
      <c r="AR26" s="316" t="s">
        <v>155</v>
      </c>
      <c r="AS26" s="190"/>
      <c r="AT26" s="194"/>
      <c r="AU26" s="190"/>
      <c r="AV26" s="316" t="s">
        <v>155</v>
      </c>
      <c r="AW26" s="321"/>
      <c r="AX26" s="194"/>
      <c r="AY26" s="190"/>
      <c r="AZ26" s="194"/>
      <c r="BA26" s="321"/>
      <c r="BB26" s="194"/>
      <c r="BC26" s="190"/>
      <c r="BD26" s="194"/>
      <c r="BE26" s="190"/>
      <c r="BF26" s="23"/>
      <c r="BG26" s="190"/>
      <c r="BH26" s="194"/>
      <c r="BI26" s="190"/>
      <c r="BJ26" s="23"/>
      <c r="BK26" s="190"/>
      <c r="BL26" s="194"/>
      <c r="BM26" s="190"/>
      <c r="BN26" s="23"/>
      <c r="BO26" s="190"/>
      <c r="BP26" s="194"/>
      <c r="BQ26" s="190"/>
      <c r="BR26" s="23"/>
      <c r="BS26" s="190"/>
      <c r="BT26" s="194"/>
      <c r="BU26" s="190"/>
      <c r="BV26" s="23"/>
      <c r="BW26" s="97" t="str">
        <f t="shared" si="7"/>
        <v/>
      </c>
      <c r="BX26" s="384"/>
      <c r="BY26" s="439"/>
      <c r="BZ26" s="45"/>
      <c r="CA26" s="45"/>
      <c r="CB26" s="97"/>
      <c r="CC26" s="45"/>
      <c r="CD26" s="546"/>
      <c r="CE26" s="546"/>
      <c r="CF26" s="439"/>
      <c r="CG26" s="45"/>
      <c r="CH26" s="45"/>
      <c r="CI26" s="97"/>
      <c r="CJ26" s="45"/>
      <c r="CK26" s="546"/>
      <c r="CL26" s="546"/>
      <c r="CM26" s="439"/>
      <c r="CN26" s="45"/>
      <c r="CO26" s="45"/>
      <c r="CP26" s="97"/>
      <c r="CQ26" s="45"/>
      <c r="CR26" s="546"/>
      <c r="CS26" s="546"/>
      <c r="CT26" s="439"/>
      <c r="CU26" s="45"/>
      <c r="CV26" s="45"/>
      <c r="CW26" s="97"/>
      <c r="CX26" s="45"/>
      <c r="CY26" s="546"/>
      <c r="CZ26" s="546"/>
      <c r="DA26" s="439"/>
      <c r="DB26" s="45"/>
      <c r="DC26" s="45"/>
      <c r="DD26" s="97"/>
      <c r="DE26" s="45"/>
      <c r="DF26" s="546"/>
      <c r="DG26" s="546"/>
      <c r="DH26" s="439"/>
      <c r="DI26" s="45"/>
      <c r="DJ26" s="45"/>
      <c r="DK26" s="97"/>
      <c r="DL26" s="45"/>
      <c r="DM26" s="546"/>
      <c r="DN26" s="546"/>
    </row>
    <row r="27" spans="2:118" s="124" customFormat="1" ht="116.25" customHeight="1">
      <c r="B27" s="535"/>
      <c r="C27" s="527"/>
      <c r="D27" s="264" t="s">
        <v>1339</v>
      </c>
      <c r="E27" s="431">
        <v>0.01</v>
      </c>
      <c r="F27" s="187" t="s">
        <v>90</v>
      </c>
      <c r="G27" s="187" t="s">
        <v>110</v>
      </c>
      <c r="H27" s="187" t="s">
        <v>156</v>
      </c>
      <c r="I27" s="187" t="s">
        <v>1197</v>
      </c>
      <c r="J27" s="385" t="s">
        <v>157</v>
      </c>
      <c r="K27" s="192">
        <v>44743</v>
      </c>
      <c r="L27" s="192">
        <v>46387</v>
      </c>
      <c r="M27" s="193" t="s">
        <v>97</v>
      </c>
      <c r="N27" s="193" t="s">
        <v>158</v>
      </c>
      <c r="O27" s="193" t="s">
        <v>1198</v>
      </c>
      <c r="P27" s="193" t="s">
        <v>87</v>
      </c>
      <c r="Q27" s="235">
        <v>0</v>
      </c>
      <c r="R27" s="200">
        <v>2022</v>
      </c>
      <c r="S27" s="201">
        <v>0.1</v>
      </c>
      <c r="T27" s="201">
        <v>0.4</v>
      </c>
      <c r="U27" s="201">
        <v>0.6</v>
      </c>
      <c r="V27" s="201">
        <v>0.8</v>
      </c>
      <c r="W27" s="201">
        <v>1</v>
      </c>
      <c r="X27" s="23"/>
      <c r="Y27" s="23"/>
      <c r="Z27" s="23"/>
      <c r="AA27" s="23"/>
      <c r="AB27" s="203">
        <v>1</v>
      </c>
      <c r="AC27" s="328">
        <v>1.08</v>
      </c>
      <c r="AD27" s="328">
        <v>2.04</v>
      </c>
      <c r="AE27" s="328">
        <v>2.1</v>
      </c>
      <c r="AF27" s="328">
        <v>2.16</v>
      </c>
      <c r="AG27" s="328">
        <v>2.23</v>
      </c>
      <c r="AH27" s="328"/>
      <c r="AI27" s="328"/>
      <c r="AJ27" s="328"/>
      <c r="AK27" s="328"/>
      <c r="AL27" s="454">
        <f t="shared" si="8"/>
        <v>9.6100000000000012</v>
      </c>
      <c r="AM27" s="271">
        <v>1.08</v>
      </c>
      <c r="AN27" s="272" t="s">
        <v>114</v>
      </c>
      <c r="AO27" s="273"/>
      <c r="AP27" s="272"/>
      <c r="AQ27" s="271">
        <v>2.04</v>
      </c>
      <c r="AR27" s="272" t="s">
        <v>114</v>
      </c>
      <c r="AS27" s="273"/>
      <c r="AT27" s="272"/>
      <c r="AU27" s="271">
        <v>2.1</v>
      </c>
      <c r="AV27" s="272" t="s">
        <v>114</v>
      </c>
      <c r="AW27" s="273"/>
      <c r="AX27" s="272"/>
      <c r="AY27" s="271">
        <v>2.16</v>
      </c>
      <c r="AZ27" s="272" t="s">
        <v>114</v>
      </c>
      <c r="BA27" s="273"/>
      <c r="BB27" s="273"/>
      <c r="BC27" s="271">
        <v>2.23</v>
      </c>
      <c r="BD27" s="272" t="s">
        <v>114</v>
      </c>
      <c r="BE27" s="273"/>
      <c r="BF27" s="273"/>
      <c r="BG27" s="321"/>
      <c r="BH27" s="23"/>
      <c r="BI27" s="321"/>
      <c r="BJ27" s="23"/>
      <c r="BK27" s="321"/>
      <c r="BL27" s="23"/>
      <c r="BM27" s="321"/>
      <c r="BN27" s="23"/>
      <c r="BO27" s="321"/>
      <c r="BP27" s="23"/>
      <c r="BQ27" s="321"/>
      <c r="BR27" s="23"/>
      <c r="BS27" s="190"/>
      <c r="BT27" s="23"/>
      <c r="BU27" s="190"/>
      <c r="BV27" s="23"/>
      <c r="BW27" s="97">
        <f t="shared" si="7"/>
        <v>9.6100000000000012</v>
      </c>
      <c r="BX27" s="384"/>
      <c r="BY27" s="110"/>
      <c r="BZ27" s="45"/>
      <c r="CA27" s="45"/>
      <c r="CB27" s="97"/>
      <c r="CC27" s="45"/>
      <c r="CD27" s="546"/>
      <c r="CE27" s="546"/>
      <c r="CF27" s="110"/>
      <c r="CG27" s="45"/>
      <c r="CH27" s="45"/>
      <c r="CI27" s="97"/>
      <c r="CJ27" s="45"/>
      <c r="CK27" s="546"/>
      <c r="CL27" s="546"/>
      <c r="CM27" s="110"/>
      <c r="CN27" s="45"/>
      <c r="CO27" s="45"/>
      <c r="CP27" s="97"/>
      <c r="CQ27" s="45"/>
      <c r="CR27" s="546"/>
      <c r="CS27" s="546"/>
      <c r="CT27" s="110"/>
      <c r="CU27" s="45"/>
      <c r="CV27" s="45"/>
      <c r="CW27" s="97"/>
      <c r="CX27" s="45"/>
      <c r="CY27" s="546"/>
      <c r="CZ27" s="546"/>
      <c r="DA27" s="110"/>
      <c r="DB27" s="45"/>
      <c r="DC27" s="45"/>
      <c r="DD27" s="97"/>
      <c r="DE27" s="45"/>
      <c r="DF27" s="546"/>
      <c r="DG27" s="546"/>
      <c r="DH27" s="110"/>
      <c r="DI27" s="45"/>
      <c r="DJ27" s="45"/>
      <c r="DK27" s="97"/>
      <c r="DL27" s="45"/>
      <c r="DM27" s="546"/>
      <c r="DN27" s="546"/>
    </row>
    <row r="28" spans="2:118" s="124" customFormat="1" ht="89.25">
      <c r="B28" s="535"/>
      <c r="C28" s="527"/>
      <c r="D28" s="218" t="s">
        <v>1340</v>
      </c>
      <c r="E28" s="431">
        <v>0.01</v>
      </c>
      <c r="F28" s="187" t="s">
        <v>90</v>
      </c>
      <c r="G28" s="187" t="s">
        <v>159</v>
      </c>
      <c r="H28" s="187" t="s">
        <v>160</v>
      </c>
      <c r="I28" s="187" t="s">
        <v>161</v>
      </c>
      <c r="J28" s="385" t="s">
        <v>162</v>
      </c>
      <c r="K28" s="192">
        <v>44743</v>
      </c>
      <c r="L28" s="192">
        <v>45291</v>
      </c>
      <c r="M28" s="193" t="s">
        <v>97</v>
      </c>
      <c r="N28" s="193" t="s">
        <v>163</v>
      </c>
      <c r="O28" s="193" t="s">
        <v>164</v>
      </c>
      <c r="P28" s="193" t="s">
        <v>87</v>
      </c>
      <c r="Q28" s="45">
        <v>0</v>
      </c>
      <c r="R28" s="200">
        <v>2022</v>
      </c>
      <c r="S28" s="203">
        <v>0.3</v>
      </c>
      <c r="T28" s="203">
        <v>1</v>
      </c>
      <c r="U28" s="221"/>
      <c r="V28" s="221"/>
      <c r="W28" s="221"/>
      <c r="X28" s="221"/>
      <c r="Y28" s="221"/>
      <c r="Z28" s="221"/>
      <c r="AA28" s="221"/>
      <c r="AB28" s="203">
        <v>1</v>
      </c>
      <c r="AC28" s="328">
        <v>150</v>
      </c>
      <c r="AD28" s="328">
        <v>300</v>
      </c>
      <c r="AE28" s="328"/>
      <c r="AF28" s="328"/>
      <c r="AG28" s="328"/>
      <c r="AH28" s="328"/>
      <c r="AI28" s="328"/>
      <c r="AJ28" s="328"/>
      <c r="AK28" s="328"/>
      <c r="AL28" s="454">
        <f t="shared" si="8"/>
        <v>450</v>
      </c>
      <c r="AM28" s="220">
        <v>150</v>
      </c>
      <c r="AN28" s="221" t="s">
        <v>114</v>
      </c>
      <c r="AO28" s="190"/>
      <c r="AP28" s="23"/>
      <c r="AQ28" s="220">
        <v>300</v>
      </c>
      <c r="AR28" s="221" t="s">
        <v>114</v>
      </c>
      <c r="AS28" s="190"/>
      <c r="AT28" s="23"/>
      <c r="AU28" s="321"/>
      <c r="AV28" s="23"/>
      <c r="AW28" s="321"/>
      <c r="AX28" s="23"/>
      <c r="AY28" s="321"/>
      <c r="AZ28" s="23"/>
      <c r="BA28" s="321"/>
      <c r="BB28" s="23"/>
      <c r="BC28" s="321"/>
      <c r="BD28" s="23"/>
      <c r="BE28" s="321"/>
      <c r="BF28" s="23"/>
      <c r="BG28" s="321"/>
      <c r="BH28" s="23"/>
      <c r="BI28" s="321"/>
      <c r="BJ28" s="23"/>
      <c r="BK28" s="321"/>
      <c r="BL28" s="23"/>
      <c r="BM28" s="321"/>
      <c r="BN28" s="23"/>
      <c r="BO28" s="321"/>
      <c r="BP28" s="23"/>
      <c r="BQ28" s="321"/>
      <c r="BR28" s="23"/>
      <c r="BS28" s="190"/>
      <c r="BT28" s="23"/>
      <c r="BU28" s="190"/>
      <c r="BV28" s="23"/>
      <c r="BW28" s="97">
        <f t="shared" si="7"/>
        <v>450</v>
      </c>
      <c r="BX28" s="384"/>
      <c r="BY28" s="110"/>
      <c r="BZ28" s="45"/>
      <c r="CA28" s="45"/>
      <c r="CB28" s="97"/>
      <c r="CC28" s="45"/>
      <c r="CD28" s="546"/>
      <c r="CE28" s="546"/>
      <c r="CF28" s="110"/>
      <c r="CG28" s="45"/>
      <c r="CH28" s="45"/>
      <c r="CI28" s="97"/>
      <c r="CJ28" s="45"/>
      <c r="CK28" s="546"/>
      <c r="CL28" s="546"/>
      <c r="CM28" s="110"/>
      <c r="CN28" s="45"/>
      <c r="CO28" s="45"/>
      <c r="CP28" s="97"/>
      <c r="CQ28" s="45"/>
      <c r="CR28" s="546"/>
      <c r="CS28" s="546"/>
      <c r="CT28" s="110"/>
      <c r="CU28" s="45"/>
      <c r="CV28" s="45"/>
      <c r="CW28" s="97"/>
      <c r="CX28" s="45"/>
      <c r="CY28" s="546"/>
      <c r="CZ28" s="546"/>
      <c r="DA28" s="110"/>
      <c r="DB28" s="45"/>
      <c r="DC28" s="45"/>
      <c r="DD28" s="97"/>
      <c r="DE28" s="45"/>
      <c r="DF28" s="546"/>
      <c r="DG28" s="546"/>
      <c r="DH28" s="110"/>
      <c r="DI28" s="45"/>
      <c r="DJ28" s="45"/>
      <c r="DK28" s="97"/>
      <c r="DL28" s="45"/>
      <c r="DM28" s="546"/>
      <c r="DN28" s="546"/>
    </row>
    <row r="29" spans="2:118" s="124" customFormat="1" ht="140.25">
      <c r="B29" s="535"/>
      <c r="C29" s="527"/>
      <c r="D29" s="218" t="s">
        <v>1341</v>
      </c>
      <c r="E29" s="431">
        <v>5.0000000000000001E-3</v>
      </c>
      <c r="F29" s="187" t="s">
        <v>90</v>
      </c>
      <c r="G29" s="187" t="s">
        <v>159</v>
      </c>
      <c r="H29" s="187" t="s">
        <v>165</v>
      </c>
      <c r="I29" s="187" t="s">
        <v>166</v>
      </c>
      <c r="J29" s="385" t="s">
        <v>167</v>
      </c>
      <c r="K29" s="192">
        <v>44958</v>
      </c>
      <c r="L29" s="192">
        <v>45993</v>
      </c>
      <c r="M29" s="193" t="s">
        <v>97</v>
      </c>
      <c r="N29" s="193" t="s">
        <v>168</v>
      </c>
      <c r="O29" s="193" t="s">
        <v>1199</v>
      </c>
      <c r="P29" s="193" t="s">
        <v>87</v>
      </c>
      <c r="Q29" s="45">
        <v>0</v>
      </c>
      <c r="R29" s="200">
        <v>2022</v>
      </c>
      <c r="S29" s="203"/>
      <c r="T29" s="203">
        <v>0.6</v>
      </c>
      <c r="U29" s="203">
        <v>0.75</v>
      </c>
      <c r="V29" s="203">
        <v>1</v>
      </c>
      <c r="W29" s="221"/>
      <c r="X29" s="221"/>
      <c r="Y29" s="221"/>
      <c r="Z29" s="221"/>
      <c r="AA29" s="221"/>
      <c r="AB29" s="203">
        <v>1</v>
      </c>
      <c r="AC29" s="328"/>
      <c r="AD29" s="328">
        <v>100</v>
      </c>
      <c r="AE29" s="328">
        <v>200</v>
      </c>
      <c r="AF29" s="328">
        <v>200</v>
      </c>
      <c r="AG29" s="328"/>
      <c r="AH29" s="328"/>
      <c r="AI29" s="328"/>
      <c r="AJ29" s="328"/>
      <c r="AK29" s="328"/>
      <c r="AL29" s="454">
        <f t="shared" si="8"/>
        <v>500</v>
      </c>
      <c r="AM29" s="220"/>
      <c r="AN29" s="221"/>
      <c r="AO29" s="220"/>
      <c r="AP29" s="221"/>
      <c r="AQ29" s="220">
        <v>100</v>
      </c>
      <c r="AR29" s="221" t="s">
        <v>114</v>
      </c>
      <c r="AS29" s="220"/>
      <c r="AT29" s="221"/>
      <c r="AU29" s="220">
        <v>200</v>
      </c>
      <c r="AV29" s="221" t="s">
        <v>114</v>
      </c>
      <c r="AW29" s="220"/>
      <c r="AX29" s="221"/>
      <c r="AY29" s="220">
        <v>200</v>
      </c>
      <c r="AZ29" s="221" t="s">
        <v>114</v>
      </c>
      <c r="BA29" s="321"/>
      <c r="BB29" s="23"/>
      <c r="BC29" s="321"/>
      <c r="BD29" s="23"/>
      <c r="BE29" s="321"/>
      <c r="BF29" s="23"/>
      <c r="BG29" s="321"/>
      <c r="BH29" s="23"/>
      <c r="BI29" s="321"/>
      <c r="BJ29" s="23"/>
      <c r="BK29" s="321"/>
      <c r="BL29" s="23"/>
      <c r="BM29" s="321"/>
      <c r="BN29" s="23"/>
      <c r="BO29" s="321"/>
      <c r="BP29" s="23"/>
      <c r="BQ29" s="321"/>
      <c r="BR29" s="23"/>
      <c r="BS29" s="190"/>
      <c r="BT29" s="23"/>
      <c r="BU29" s="190"/>
      <c r="BV29" s="23"/>
      <c r="BW29" s="97">
        <f t="shared" si="7"/>
        <v>500</v>
      </c>
      <c r="BX29" s="384"/>
      <c r="BY29" s="110"/>
      <c r="BZ29" s="45"/>
      <c r="CA29" s="45"/>
      <c r="CB29" s="97"/>
      <c r="CC29" s="45"/>
      <c r="CD29" s="546"/>
      <c r="CE29" s="546"/>
      <c r="CF29" s="110"/>
      <c r="CG29" s="45"/>
      <c r="CH29" s="45"/>
      <c r="CI29" s="97"/>
      <c r="CJ29" s="45"/>
      <c r="CK29" s="546"/>
      <c r="CL29" s="546"/>
      <c r="CM29" s="110"/>
      <c r="CN29" s="45"/>
      <c r="CO29" s="45"/>
      <c r="CP29" s="97"/>
      <c r="CQ29" s="45"/>
      <c r="CR29" s="546"/>
      <c r="CS29" s="546"/>
      <c r="CT29" s="110"/>
      <c r="CU29" s="45"/>
      <c r="CV29" s="45"/>
      <c r="CW29" s="97"/>
      <c r="CX29" s="45"/>
      <c r="CY29" s="546"/>
      <c r="CZ29" s="546"/>
      <c r="DA29" s="110"/>
      <c r="DB29" s="45"/>
      <c r="DC29" s="45"/>
      <c r="DD29" s="97"/>
      <c r="DE29" s="45"/>
      <c r="DF29" s="546"/>
      <c r="DG29" s="546"/>
      <c r="DH29" s="110"/>
      <c r="DI29" s="45"/>
      <c r="DJ29" s="45"/>
      <c r="DK29" s="97"/>
      <c r="DL29" s="45"/>
      <c r="DM29" s="546"/>
      <c r="DN29" s="546"/>
    </row>
    <row r="30" spans="2:118" s="124" customFormat="1" ht="89.25">
      <c r="B30" s="535"/>
      <c r="C30" s="527"/>
      <c r="D30" s="218" t="s">
        <v>1342</v>
      </c>
      <c r="E30" s="431">
        <v>1E-3</v>
      </c>
      <c r="F30" s="187" t="s">
        <v>90</v>
      </c>
      <c r="G30" s="187" t="s">
        <v>159</v>
      </c>
      <c r="H30" s="187" t="s">
        <v>169</v>
      </c>
      <c r="I30" s="187" t="s">
        <v>170</v>
      </c>
      <c r="J30" s="385" t="s">
        <v>171</v>
      </c>
      <c r="K30" s="192">
        <v>44743</v>
      </c>
      <c r="L30" s="156">
        <v>47848</v>
      </c>
      <c r="M30" s="193" t="s">
        <v>97</v>
      </c>
      <c r="N30" s="193" t="s">
        <v>172</v>
      </c>
      <c r="O30" s="193" t="s">
        <v>173</v>
      </c>
      <c r="P30" s="193" t="s">
        <v>87</v>
      </c>
      <c r="Q30" s="45">
        <v>0</v>
      </c>
      <c r="R30" s="303">
        <v>2021</v>
      </c>
      <c r="S30" s="203">
        <v>0.05</v>
      </c>
      <c r="T30" s="203">
        <v>0.2</v>
      </c>
      <c r="U30" s="203">
        <v>0.3</v>
      </c>
      <c r="V30" s="203">
        <v>0.4</v>
      </c>
      <c r="W30" s="203">
        <v>0.5</v>
      </c>
      <c r="X30" s="203">
        <v>0.6</v>
      </c>
      <c r="Y30" s="203">
        <v>0.7</v>
      </c>
      <c r="Z30" s="203">
        <v>0.8</v>
      </c>
      <c r="AA30" s="203">
        <v>1</v>
      </c>
      <c r="AB30" s="203">
        <v>1</v>
      </c>
      <c r="AC30" s="330">
        <v>30</v>
      </c>
      <c r="AD30" s="335">
        <v>1108.6436679999999</v>
      </c>
      <c r="AE30" s="335">
        <v>1164.0758514000001</v>
      </c>
      <c r="AF30" s="335">
        <v>1222.2796439700001</v>
      </c>
      <c r="AG30" s="335">
        <v>1283.3936261684998</v>
      </c>
      <c r="AH30" s="335">
        <v>1347.5633074769248</v>
      </c>
      <c r="AI30" s="335">
        <v>1414.9414728507713</v>
      </c>
      <c r="AJ30" s="335">
        <v>1485.6885464933098</v>
      </c>
      <c r="AK30" s="335">
        <v>1559.9729738179756</v>
      </c>
      <c r="AL30" s="454">
        <f t="shared" si="8"/>
        <v>10616.559090177481</v>
      </c>
      <c r="AM30" s="304">
        <v>30</v>
      </c>
      <c r="AN30" s="23" t="s">
        <v>80</v>
      </c>
      <c r="AO30" s="190"/>
      <c r="AP30" s="23"/>
      <c r="AQ30" s="254">
        <v>1108.6436679999999</v>
      </c>
      <c r="AR30" s="23" t="s">
        <v>80</v>
      </c>
      <c r="AS30" s="190"/>
      <c r="AT30" s="23"/>
      <c r="AU30" s="254">
        <v>1164.0758514000001</v>
      </c>
      <c r="AV30" s="23" t="s">
        <v>80</v>
      </c>
      <c r="AW30" s="321"/>
      <c r="AX30" s="23"/>
      <c r="AY30" s="254">
        <v>1222.2796439700001</v>
      </c>
      <c r="AZ30" s="23" t="s">
        <v>80</v>
      </c>
      <c r="BA30" s="321"/>
      <c r="BB30" s="23"/>
      <c r="BC30" s="254">
        <v>1283.3936261684998</v>
      </c>
      <c r="BD30" s="23" t="s">
        <v>80</v>
      </c>
      <c r="BE30" s="321"/>
      <c r="BF30" s="23"/>
      <c r="BG30" s="254">
        <v>1347.5633074769248</v>
      </c>
      <c r="BH30" s="23" t="s">
        <v>80</v>
      </c>
      <c r="BI30" s="321"/>
      <c r="BJ30" s="23"/>
      <c r="BK30" s="254">
        <v>1414.9414728507713</v>
      </c>
      <c r="BL30" s="23" t="s">
        <v>80</v>
      </c>
      <c r="BM30" s="321"/>
      <c r="BN30" s="23"/>
      <c r="BO30" s="254">
        <v>1485.6885464933098</v>
      </c>
      <c r="BP30" s="23" t="s">
        <v>80</v>
      </c>
      <c r="BQ30" s="321"/>
      <c r="BR30" s="23"/>
      <c r="BS30" s="254">
        <v>1559.9729738179756</v>
      </c>
      <c r="BT30" s="23" t="s">
        <v>80</v>
      </c>
      <c r="BU30" s="190"/>
      <c r="BV30" s="23"/>
      <c r="BW30" s="97">
        <f t="shared" si="7"/>
        <v>10616.559090177481</v>
      </c>
      <c r="BX30" s="384"/>
      <c r="BY30" s="110"/>
      <c r="BZ30" s="45"/>
      <c r="CA30" s="45"/>
      <c r="CB30" s="97"/>
      <c r="CC30" s="45"/>
      <c r="CD30" s="546"/>
      <c r="CE30" s="546"/>
      <c r="CF30" s="110"/>
      <c r="CG30" s="45"/>
      <c r="CH30" s="45"/>
      <c r="CI30" s="97"/>
      <c r="CJ30" s="45"/>
      <c r="CK30" s="546"/>
      <c r="CL30" s="546"/>
      <c r="CM30" s="110"/>
      <c r="CN30" s="45"/>
      <c r="CO30" s="45"/>
      <c r="CP30" s="97"/>
      <c r="CQ30" s="45"/>
      <c r="CR30" s="546"/>
      <c r="CS30" s="546"/>
      <c r="CT30" s="110"/>
      <c r="CU30" s="45"/>
      <c r="CV30" s="45"/>
      <c r="CW30" s="97"/>
      <c r="CX30" s="45"/>
      <c r="CY30" s="546"/>
      <c r="CZ30" s="546"/>
      <c r="DA30" s="110"/>
      <c r="DB30" s="45"/>
      <c r="DC30" s="45"/>
      <c r="DD30" s="97"/>
      <c r="DE30" s="45"/>
      <c r="DF30" s="546"/>
      <c r="DG30" s="546"/>
      <c r="DH30" s="110"/>
      <c r="DI30" s="45"/>
      <c r="DJ30" s="45"/>
      <c r="DK30" s="97"/>
      <c r="DL30" s="45"/>
      <c r="DM30" s="546"/>
      <c r="DN30" s="546"/>
    </row>
    <row r="31" spans="2:118" s="124" customFormat="1" ht="216.75">
      <c r="B31" s="535"/>
      <c r="C31" s="527"/>
      <c r="D31" s="218" t="s">
        <v>1343</v>
      </c>
      <c r="E31" s="431">
        <v>0.02</v>
      </c>
      <c r="F31" s="187" t="s">
        <v>1415</v>
      </c>
      <c r="G31" s="187" t="s">
        <v>174</v>
      </c>
      <c r="H31" s="187" t="s">
        <v>1200</v>
      </c>
      <c r="I31" s="187" t="s">
        <v>175</v>
      </c>
      <c r="J31" s="385" t="s">
        <v>176</v>
      </c>
      <c r="K31" s="192">
        <v>44927</v>
      </c>
      <c r="L31" s="156">
        <v>47848</v>
      </c>
      <c r="M31" s="193" t="s">
        <v>97</v>
      </c>
      <c r="N31" s="193" t="s">
        <v>177</v>
      </c>
      <c r="O31" s="193" t="s">
        <v>989</v>
      </c>
      <c r="P31" s="193" t="s">
        <v>87</v>
      </c>
      <c r="Q31" s="45">
        <v>0</v>
      </c>
      <c r="R31" s="200">
        <v>2022</v>
      </c>
      <c r="S31" s="275"/>
      <c r="T31" s="203">
        <v>0.2</v>
      </c>
      <c r="U31" s="203">
        <v>0.5</v>
      </c>
      <c r="V31" s="203">
        <v>0.56999999999999995</v>
      </c>
      <c r="W31" s="203">
        <v>0.64</v>
      </c>
      <c r="X31" s="203">
        <v>0.71</v>
      </c>
      <c r="Y31" s="203">
        <v>0.78</v>
      </c>
      <c r="Z31" s="203">
        <v>0.85</v>
      </c>
      <c r="AA31" s="203">
        <v>1</v>
      </c>
      <c r="AB31" s="203">
        <v>1</v>
      </c>
      <c r="AC31" s="328"/>
      <c r="AD31" s="328">
        <v>30</v>
      </c>
      <c r="AE31" s="328">
        <v>40</v>
      </c>
      <c r="AF31" s="328">
        <v>60</v>
      </c>
      <c r="AG31" s="328">
        <v>60</v>
      </c>
      <c r="AH31" s="328">
        <v>60</v>
      </c>
      <c r="AI31" s="328">
        <v>60</v>
      </c>
      <c r="AJ31" s="328">
        <v>60</v>
      </c>
      <c r="AK31" s="328">
        <v>60</v>
      </c>
      <c r="AL31" s="454">
        <f t="shared" si="8"/>
        <v>430</v>
      </c>
      <c r="AM31" s="190"/>
      <c r="AN31" s="23"/>
      <c r="AO31" s="190"/>
      <c r="AP31" s="23"/>
      <c r="AQ31" s="190">
        <v>30</v>
      </c>
      <c r="AR31" s="23" t="s">
        <v>80</v>
      </c>
      <c r="AS31" s="190"/>
      <c r="AT31" s="23"/>
      <c r="AU31" s="190">
        <v>40</v>
      </c>
      <c r="AV31" s="23" t="s">
        <v>80</v>
      </c>
      <c r="AW31" s="321"/>
      <c r="AX31" s="23"/>
      <c r="AY31" s="190">
        <v>60</v>
      </c>
      <c r="AZ31" s="23" t="s">
        <v>80</v>
      </c>
      <c r="BA31" s="321"/>
      <c r="BB31" s="23"/>
      <c r="BC31" s="190">
        <v>60</v>
      </c>
      <c r="BD31" s="23" t="s">
        <v>80</v>
      </c>
      <c r="BE31" s="321"/>
      <c r="BF31" s="23"/>
      <c r="BG31" s="190">
        <v>60</v>
      </c>
      <c r="BH31" s="23" t="s">
        <v>80</v>
      </c>
      <c r="BI31" s="321"/>
      <c r="BJ31" s="23"/>
      <c r="BK31" s="190">
        <v>60</v>
      </c>
      <c r="BL31" s="23" t="s">
        <v>80</v>
      </c>
      <c r="BM31" s="321"/>
      <c r="BN31" s="23"/>
      <c r="BO31" s="190">
        <v>60</v>
      </c>
      <c r="BP31" s="23" t="s">
        <v>80</v>
      </c>
      <c r="BQ31" s="321"/>
      <c r="BR31" s="23"/>
      <c r="BS31" s="190">
        <v>60</v>
      </c>
      <c r="BT31" s="23" t="s">
        <v>80</v>
      </c>
      <c r="BU31" s="321"/>
      <c r="BV31" s="23"/>
      <c r="BW31" s="97">
        <f t="shared" si="7"/>
        <v>430</v>
      </c>
      <c r="BX31" s="384"/>
      <c r="BY31" s="110"/>
      <c r="BZ31" s="45"/>
      <c r="CA31" s="45"/>
      <c r="CB31" s="97"/>
      <c r="CC31" s="45"/>
      <c r="CD31" s="546"/>
      <c r="CE31" s="546"/>
      <c r="CF31" s="110"/>
      <c r="CG31" s="45"/>
      <c r="CH31" s="45"/>
      <c r="CI31" s="97"/>
      <c r="CJ31" s="45"/>
      <c r="CK31" s="546"/>
      <c r="CL31" s="546"/>
      <c r="CM31" s="110"/>
      <c r="CN31" s="45"/>
      <c r="CO31" s="45"/>
      <c r="CP31" s="97"/>
      <c r="CQ31" s="45"/>
      <c r="CR31" s="546"/>
      <c r="CS31" s="546"/>
      <c r="CT31" s="110"/>
      <c r="CU31" s="45"/>
      <c r="CV31" s="45"/>
      <c r="CW31" s="97"/>
      <c r="CX31" s="45"/>
      <c r="CY31" s="546"/>
      <c r="CZ31" s="546"/>
      <c r="DA31" s="110"/>
      <c r="DB31" s="45"/>
      <c r="DC31" s="45"/>
      <c r="DD31" s="97"/>
      <c r="DE31" s="45"/>
      <c r="DF31" s="546"/>
      <c r="DG31" s="546"/>
      <c r="DH31" s="110"/>
      <c r="DI31" s="45"/>
      <c r="DJ31" s="45"/>
      <c r="DK31" s="97"/>
      <c r="DL31" s="45"/>
      <c r="DM31" s="546"/>
      <c r="DN31" s="546"/>
    </row>
    <row r="32" spans="2:118" s="124" customFormat="1" ht="109.5" customHeight="1">
      <c r="B32" s="535"/>
      <c r="C32" s="527"/>
      <c r="D32" s="218" t="s">
        <v>1344</v>
      </c>
      <c r="E32" s="432">
        <v>1E-3</v>
      </c>
      <c r="F32" s="187" t="s">
        <v>1416</v>
      </c>
      <c r="G32" s="187" t="s">
        <v>178</v>
      </c>
      <c r="H32" s="187" t="s">
        <v>179</v>
      </c>
      <c r="I32" s="187" t="s">
        <v>180</v>
      </c>
      <c r="J32" s="385" t="s">
        <v>181</v>
      </c>
      <c r="K32" s="192">
        <v>44743</v>
      </c>
      <c r="L32" s="156">
        <v>47848</v>
      </c>
      <c r="M32" s="193" t="s">
        <v>97</v>
      </c>
      <c r="N32" s="193" t="s">
        <v>182</v>
      </c>
      <c r="O32" s="193" t="s">
        <v>183</v>
      </c>
      <c r="P32" s="193" t="s">
        <v>125</v>
      </c>
      <c r="Q32" s="203">
        <v>1</v>
      </c>
      <c r="R32" s="280">
        <v>2021</v>
      </c>
      <c r="S32" s="203">
        <v>1</v>
      </c>
      <c r="T32" s="203">
        <v>1</v>
      </c>
      <c r="U32" s="203">
        <v>1</v>
      </c>
      <c r="V32" s="203">
        <v>1</v>
      </c>
      <c r="W32" s="203">
        <v>1</v>
      </c>
      <c r="X32" s="203">
        <v>1</v>
      </c>
      <c r="Y32" s="203">
        <v>1</v>
      </c>
      <c r="Z32" s="203">
        <v>1</v>
      </c>
      <c r="AA32" s="203">
        <v>1</v>
      </c>
      <c r="AB32" s="203">
        <v>1</v>
      </c>
      <c r="AC32" s="328">
        <v>35</v>
      </c>
      <c r="AD32" s="328">
        <f t="shared" ref="AD32:AD33" si="9">+AC32*(1+3%)</f>
        <v>36.050000000000004</v>
      </c>
      <c r="AE32" s="328">
        <f t="shared" ref="AE32:AE33" si="10">+AD32*(1+3%)</f>
        <v>37.131500000000003</v>
      </c>
      <c r="AF32" s="328">
        <f t="shared" ref="AF32:AF33" si="11">+AE32*(1+3%)</f>
        <v>38.245445000000004</v>
      </c>
      <c r="AG32" s="328">
        <f t="shared" ref="AG32:AG33" si="12">+AF32*(1+3%)</f>
        <v>39.392808350000003</v>
      </c>
      <c r="AH32" s="328">
        <v>40</v>
      </c>
      <c r="AI32" s="328">
        <f t="shared" ref="AI32:AI33" si="13">+AH32*(1+3%)</f>
        <v>41.2</v>
      </c>
      <c r="AJ32" s="328">
        <f t="shared" ref="AJ32:AJ33" si="14">+AI32*(1+3%)</f>
        <v>42.436000000000007</v>
      </c>
      <c r="AK32" s="328">
        <v>43</v>
      </c>
      <c r="AL32" s="454">
        <f t="shared" si="8"/>
        <v>352.45575335000001</v>
      </c>
      <c r="AM32" s="190">
        <v>35</v>
      </c>
      <c r="AN32" s="23" t="s">
        <v>114</v>
      </c>
      <c r="AO32" s="190"/>
      <c r="AP32" s="23"/>
      <c r="AQ32" s="285">
        <v>36</v>
      </c>
      <c r="AR32" s="23" t="s">
        <v>114</v>
      </c>
      <c r="AS32" s="190"/>
      <c r="AT32" s="23"/>
      <c r="AU32" s="284">
        <v>37.130000000000003</v>
      </c>
      <c r="AV32" s="190" t="s">
        <v>114</v>
      </c>
      <c r="AW32" s="190"/>
      <c r="AX32" s="190"/>
      <c r="AY32" s="284">
        <v>38.25</v>
      </c>
      <c r="AZ32" s="190" t="s">
        <v>114</v>
      </c>
      <c r="BA32" s="190"/>
      <c r="BB32" s="190"/>
      <c r="BC32" s="285">
        <v>39.39</v>
      </c>
      <c r="BD32" s="190" t="s">
        <v>114</v>
      </c>
      <c r="BE32" s="190"/>
      <c r="BF32" s="190"/>
      <c r="BG32" s="190">
        <v>40</v>
      </c>
      <c r="BH32" s="190" t="s">
        <v>114</v>
      </c>
      <c r="BI32" s="190"/>
      <c r="BJ32" s="190"/>
      <c r="BK32" s="284">
        <v>41.2</v>
      </c>
      <c r="BL32" s="190" t="s">
        <v>114</v>
      </c>
      <c r="BM32" s="190"/>
      <c r="BN32" s="190"/>
      <c r="BO32" s="284">
        <v>42.4</v>
      </c>
      <c r="BP32" s="190" t="s">
        <v>114</v>
      </c>
      <c r="BQ32" s="190"/>
      <c r="BR32" s="190"/>
      <c r="BS32" s="190">
        <v>43</v>
      </c>
      <c r="BT32" s="190" t="s">
        <v>114</v>
      </c>
      <c r="BU32" s="190"/>
      <c r="BV32" s="190"/>
      <c r="BW32" s="97">
        <f t="shared" si="7"/>
        <v>352.36999999999995</v>
      </c>
      <c r="BX32" s="384"/>
      <c r="BY32" s="305"/>
      <c r="BZ32" s="291"/>
      <c r="CA32" s="291"/>
      <c r="CB32" s="97"/>
      <c r="CC32" s="291"/>
      <c r="CD32" s="546"/>
      <c r="CE32" s="546"/>
      <c r="CF32" s="305"/>
      <c r="CG32" s="291"/>
      <c r="CH32" s="291"/>
      <c r="CI32" s="97"/>
      <c r="CJ32" s="291"/>
      <c r="CK32" s="546"/>
      <c r="CL32" s="546"/>
      <c r="CM32" s="305"/>
      <c r="CN32" s="291"/>
      <c r="CO32" s="291"/>
      <c r="CP32" s="97"/>
      <c r="CQ32" s="291"/>
      <c r="CR32" s="546"/>
      <c r="CS32" s="546"/>
      <c r="CT32" s="305"/>
      <c r="CU32" s="291"/>
      <c r="CV32" s="291"/>
      <c r="CW32" s="97"/>
      <c r="CX32" s="291"/>
      <c r="CY32" s="546"/>
      <c r="CZ32" s="546"/>
      <c r="DA32" s="305"/>
      <c r="DB32" s="291"/>
      <c r="DC32" s="291"/>
      <c r="DD32" s="97"/>
      <c r="DE32" s="291"/>
      <c r="DF32" s="546"/>
      <c r="DG32" s="546"/>
      <c r="DH32" s="305"/>
      <c r="DI32" s="291"/>
      <c r="DJ32" s="291"/>
      <c r="DK32" s="97"/>
      <c r="DL32" s="291"/>
      <c r="DM32" s="546"/>
      <c r="DN32" s="546"/>
    </row>
    <row r="33" spans="2:118" s="124" customFormat="1" ht="105.75" customHeight="1">
      <c r="B33" s="535"/>
      <c r="C33" s="527"/>
      <c r="D33" s="218" t="s">
        <v>1345</v>
      </c>
      <c r="E33" s="432">
        <v>1E-3</v>
      </c>
      <c r="F33" s="187" t="s">
        <v>1416</v>
      </c>
      <c r="G33" s="187" t="s">
        <v>178</v>
      </c>
      <c r="H33" s="187" t="s">
        <v>179</v>
      </c>
      <c r="I33" s="187" t="s">
        <v>180</v>
      </c>
      <c r="J33" s="385" t="s">
        <v>181</v>
      </c>
      <c r="K33" s="192">
        <v>44743</v>
      </c>
      <c r="L33" s="156">
        <v>47848</v>
      </c>
      <c r="M33" s="193" t="s">
        <v>97</v>
      </c>
      <c r="N33" s="193" t="s">
        <v>184</v>
      </c>
      <c r="O33" s="193" t="s">
        <v>185</v>
      </c>
      <c r="P33" s="193" t="s">
        <v>125</v>
      </c>
      <c r="Q33" s="203">
        <v>0</v>
      </c>
      <c r="R33" s="200">
        <v>2022</v>
      </c>
      <c r="S33" s="203">
        <v>1</v>
      </c>
      <c r="T33" s="203">
        <v>1</v>
      </c>
      <c r="U33" s="203">
        <v>1</v>
      </c>
      <c r="V33" s="203">
        <v>1</v>
      </c>
      <c r="W33" s="203">
        <v>1</v>
      </c>
      <c r="X33" s="203">
        <v>1</v>
      </c>
      <c r="Y33" s="203">
        <v>1</v>
      </c>
      <c r="Z33" s="203">
        <v>1</v>
      </c>
      <c r="AA33" s="203">
        <v>1</v>
      </c>
      <c r="AB33" s="203">
        <v>1</v>
      </c>
      <c r="AC33" s="328">
        <v>35</v>
      </c>
      <c r="AD33" s="328">
        <f t="shared" si="9"/>
        <v>36.050000000000004</v>
      </c>
      <c r="AE33" s="328">
        <f t="shared" si="10"/>
        <v>37.131500000000003</v>
      </c>
      <c r="AF33" s="328">
        <f t="shared" si="11"/>
        <v>38.245445000000004</v>
      </c>
      <c r="AG33" s="328">
        <f t="shared" si="12"/>
        <v>39.392808350000003</v>
      </c>
      <c r="AH33" s="328">
        <v>40</v>
      </c>
      <c r="AI33" s="328">
        <f t="shared" si="13"/>
        <v>41.2</v>
      </c>
      <c r="AJ33" s="328">
        <f t="shared" si="14"/>
        <v>42.436000000000007</v>
      </c>
      <c r="AK33" s="328">
        <v>43</v>
      </c>
      <c r="AL33" s="454">
        <f t="shared" si="8"/>
        <v>352.45575335000001</v>
      </c>
      <c r="AM33" s="190">
        <v>35</v>
      </c>
      <c r="AN33" s="23" t="s">
        <v>114</v>
      </c>
      <c r="AO33" s="190"/>
      <c r="AP33" s="23"/>
      <c r="AQ33" s="190">
        <v>36</v>
      </c>
      <c r="AR33" s="23" t="s">
        <v>114</v>
      </c>
      <c r="AS33" s="190"/>
      <c r="AT33" s="23"/>
      <c r="AU33" s="284">
        <v>37.130000000000003</v>
      </c>
      <c r="AV33" s="190" t="s">
        <v>114</v>
      </c>
      <c r="AW33" s="190"/>
      <c r="AX33" s="190"/>
      <c r="AY33" s="284">
        <v>38.25</v>
      </c>
      <c r="AZ33" s="190" t="s">
        <v>114</v>
      </c>
      <c r="BA33" s="190"/>
      <c r="BB33" s="190"/>
      <c r="BC33" s="285">
        <v>39.39</v>
      </c>
      <c r="BD33" s="190" t="s">
        <v>114</v>
      </c>
      <c r="BE33" s="190"/>
      <c r="BF33" s="190"/>
      <c r="BG33" s="190">
        <v>40</v>
      </c>
      <c r="BH33" s="190" t="s">
        <v>114</v>
      </c>
      <c r="BI33" s="190"/>
      <c r="BJ33" s="190"/>
      <c r="BK33" s="284">
        <v>41.2</v>
      </c>
      <c r="BL33" s="190" t="s">
        <v>114</v>
      </c>
      <c r="BM33" s="190"/>
      <c r="BN33" s="190"/>
      <c r="BO33" s="284">
        <v>42.4</v>
      </c>
      <c r="BP33" s="190" t="s">
        <v>114</v>
      </c>
      <c r="BQ33" s="190"/>
      <c r="BR33" s="190"/>
      <c r="BS33" s="190">
        <v>43</v>
      </c>
      <c r="BT33" s="190" t="s">
        <v>114</v>
      </c>
      <c r="BU33" s="190"/>
      <c r="BV33" s="190"/>
      <c r="BW33" s="97">
        <f t="shared" si="7"/>
        <v>352.36999999999995</v>
      </c>
      <c r="BX33" s="384"/>
      <c r="BY33" s="305"/>
      <c r="BZ33" s="291"/>
      <c r="CA33" s="291"/>
      <c r="CB33" s="97"/>
      <c r="CC33" s="291"/>
      <c r="CD33" s="546"/>
      <c r="CE33" s="546"/>
      <c r="CF33" s="305"/>
      <c r="CG33" s="291"/>
      <c r="CH33" s="291"/>
      <c r="CI33" s="97"/>
      <c r="CJ33" s="291"/>
      <c r="CK33" s="546"/>
      <c r="CL33" s="546"/>
      <c r="CM33" s="305"/>
      <c r="CN33" s="291"/>
      <c r="CO33" s="291"/>
      <c r="CP33" s="97"/>
      <c r="CQ33" s="291"/>
      <c r="CR33" s="546"/>
      <c r="CS33" s="546"/>
      <c r="CT33" s="305"/>
      <c r="CU33" s="291"/>
      <c r="CV33" s="291"/>
      <c r="CW33" s="97"/>
      <c r="CX33" s="291"/>
      <c r="CY33" s="546"/>
      <c r="CZ33" s="546"/>
      <c r="DA33" s="305"/>
      <c r="DB33" s="291"/>
      <c r="DC33" s="291"/>
      <c r="DD33" s="97"/>
      <c r="DE33" s="291"/>
      <c r="DF33" s="546"/>
      <c r="DG33" s="546"/>
      <c r="DH33" s="305"/>
      <c r="DI33" s="291"/>
      <c r="DJ33" s="291"/>
      <c r="DK33" s="97"/>
      <c r="DL33" s="291"/>
      <c r="DM33" s="546"/>
      <c r="DN33" s="546"/>
    </row>
    <row r="34" spans="2:118" s="360" customFormat="1" ht="76.5">
      <c r="B34" s="535"/>
      <c r="C34" s="527"/>
      <c r="D34" s="346" t="s">
        <v>1346</v>
      </c>
      <c r="E34" s="431">
        <v>0.01</v>
      </c>
      <c r="F34" s="187" t="s">
        <v>1416</v>
      </c>
      <c r="G34" s="438" t="s">
        <v>137</v>
      </c>
      <c r="H34" s="438" t="s">
        <v>138</v>
      </c>
      <c r="I34" s="438" t="s">
        <v>139</v>
      </c>
      <c r="J34" s="385" t="s">
        <v>140</v>
      </c>
      <c r="K34" s="364">
        <v>44713</v>
      </c>
      <c r="L34" s="156">
        <v>47848</v>
      </c>
      <c r="M34" s="315" t="s">
        <v>97</v>
      </c>
      <c r="N34" s="315" t="s">
        <v>187</v>
      </c>
      <c r="O34" s="315" t="s">
        <v>188</v>
      </c>
      <c r="P34" s="315" t="s">
        <v>87</v>
      </c>
      <c r="Q34" s="325">
        <v>0.1</v>
      </c>
      <c r="R34" s="200">
        <v>2021</v>
      </c>
      <c r="S34" s="325">
        <v>0.15</v>
      </c>
      <c r="T34" s="325">
        <v>0.3</v>
      </c>
      <c r="U34" s="325">
        <v>0.4</v>
      </c>
      <c r="V34" s="325">
        <v>0.55000000000000004</v>
      </c>
      <c r="W34" s="325">
        <v>0.7</v>
      </c>
      <c r="X34" s="325">
        <v>0.85</v>
      </c>
      <c r="Y34" s="325">
        <v>0.9</v>
      </c>
      <c r="Z34" s="325">
        <v>0.95</v>
      </c>
      <c r="AA34" s="325">
        <v>1</v>
      </c>
      <c r="AB34" s="325">
        <v>1</v>
      </c>
      <c r="AC34" s="328"/>
      <c r="AD34" s="328">
        <v>56</v>
      </c>
      <c r="AE34" s="328">
        <v>57</v>
      </c>
      <c r="AF34" s="328">
        <v>58</v>
      </c>
      <c r="AG34" s="328">
        <v>59</v>
      </c>
      <c r="AH34" s="328">
        <v>60</v>
      </c>
      <c r="AI34" s="328">
        <v>61</v>
      </c>
      <c r="AJ34" s="328">
        <v>62</v>
      </c>
      <c r="AK34" s="328">
        <v>63</v>
      </c>
      <c r="AL34" s="387">
        <f t="shared" si="8"/>
        <v>476</v>
      </c>
      <c r="AM34" s="190"/>
      <c r="AN34" s="23" t="s">
        <v>88</v>
      </c>
      <c r="AO34" s="190"/>
      <c r="AP34" s="23"/>
      <c r="AQ34" s="190">
        <v>56</v>
      </c>
      <c r="AR34" s="23" t="s">
        <v>189</v>
      </c>
      <c r="AS34" s="190"/>
      <c r="AT34" s="23"/>
      <c r="AU34" s="190">
        <v>57</v>
      </c>
      <c r="AV34" s="23" t="s">
        <v>189</v>
      </c>
      <c r="AW34" s="190"/>
      <c r="AX34" s="23"/>
      <c r="AY34" s="190">
        <v>58</v>
      </c>
      <c r="AZ34" s="23" t="s">
        <v>189</v>
      </c>
      <c r="BA34" s="190"/>
      <c r="BB34" s="23"/>
      <c r="BC34" s="190">
        <v>59</v>
      </c>
      <c r="BD34" s="365" t="s">
        <v>189</v>
      </c>
      <c r="BE34" s="190"/>
      <c r="BF34" s="23"/>
      <c r="BG34" s="190">
        <v>60</v>
      </c>
      <c r="BH34" s="365" t="s">
        <v>189</v>
      </c>
      <c r="BI34" s="190"/>
      <c r="BJ34" s="23"/>
      <c r="BK34" s="190">
        <v>61</v>
      </c>
      <c r="BL34" s="365" t="s">
        <v>189</v>
      </c>
      <c r="BM34" s="190"/>
      <c r="BN34" s="23"/>
      <c r="BO34" s="190">
        <v>62</v>
      </c>
      <c r="BP34" s="365" t="s">
        <v>189</v>
      </c>
      <c r="BQ34" s="190"/>
      <c r="BR34" s="23"/>
      <c r="BS34" s="190">
        <v>63</v>
      </c>
      <c r="BT34" s="365" t="s">
        <v>189</v>
      </c>
      <c r="BU34" s="190"/>
      <c r="BV34" s="23"/>
      <c r="BW34" s="97">
        <f t="shared" si="7"/>
        <v>476</v>
      </c>
      <c r="BX34" s="384"/>
      <c r="BY34" s="313"/>
      <c r="BZ34" s="45"/>
      <c r="CA34" s="45"/>
      <c r="CB34" s="97"/>
      <c r="CC34" s="45"/>
      <c r="CD34" s="546"/>
      <c r="CE34" s="546"/>
      <c r="CF34" s="313"/>
      <c r="CG34" s="45"/>
      <c r="CH34" s="45"/>
      <c r="CI34" s="97"/>
      <c r="CJ34" s="45"/>
      <c r="CK34" s="546"/>
      <c r="CL34" s="546"/>
      <c r="CM34" s="313"/>
      <c r="CN34" s="45"/>
      <c r="CO34" s="45"/>
      <c r="CP34" s="97"/>
      <c r="CQ34" s="45"/>
      <c r="CR34" s="546"/>
      <c r="CS34" s="546"/>
      <c r="CT34" s="313"/>
      <c r="CU34" s="45"/>
      <c r="CV34" s="45"/>
      <c r="CW34" s="97"/>
      <c r="CX34" s="45"/>
      <c r="CY34" s="546"/>
      <c r="CZ34" s="546"/>
      <c r="DA34" s="313"/>
      <c r="DB34" s="45"/>
      <c r="DC34" s="45"/>
      <c r="DD34" s="97"/>
      <c r="DE34" s="45"/>
      <c r="DF34" s="546"/>
      <c r="DG34" s="546"/>
      <c r="DH34" s="313"/>
      <c r="DI34" s="45"/>
      <c r="DJ34" s="45"/>
      <c r="DK34" s="97"/>
      <c r="DL34" s="45"/>
      <c r="DM34" s="546"/>
      <c r="DN34" s="546"/>
    </row>
    <row r="35" spans="2:118" s="124" customFormat="1" ht="102">
      <c r="B35" s="535"/>
      <c r="C35" s="527"/>
      <c r="D35" s="218" t="s">
        <v>1347</v>
      </c>
      <c r="E35" s="431">
        <v>5.0000000000000001E-3</v>
      </c>
      <c r="F35" s="187" t="s">
        <v>1416</v>
      </c>
      <c r="G35" s="187" t="s">
        <v>190</v>
      </c>
      <c r="H35" s="136" t="s">
        <v>191</v>
      </c>
      <c r="I35" s="136" t="s">
        <v>192</v>
      </c>
      <c r="J35" s="385" t="s">
        <v>193</v>
      </c>
      <c r="K35" s="192">
        <v>44713</v>
      </c>
      <c r="L35" s="192">
        <v>45291</v>
      </c>
      <c r="M35" s="193" t="s">
        <v>78</v>
      </c>
      <c r="N35" s="193" t="s">
        <v>194</v>
      </c>
      <c r="O35" s="193" t="s">
        <v>195</v>
      </c>
      <c r="P35" s="193" t="s">
        <v>87</v>
      </c>
      <c r="Q35" s="45">
        <v>0</v>
      </c>
      <c r="R35" s="200">
        <v>2022</v>
      </c>
      <c r="S35" s="45">
        <v>0.4</v>
      </c>
      <c r="T35" s="45">
        <v>1</v>
      </c>
      <c r="U35" s="203"/>
      <c r="V35" s="203"/>
      <c r="W35" s="203"/>
      <c r="X35" s="203"/>
      <c r="Y35" s="203"/>
      <c r="Z35" s="203"/>
      <c r="AA35" s="203"/>
      <c r="AB35" s="45">
        <v>1</v>
      </c>
      <c r="AC35" s="328">
        <v>30</v>
      </c>
      <c r="AD35" s="328">
        <v>30</v>
      </c>
      <c r="AE35" s="328"/>
      <c r="AF35" s="328"/>
      <c r="AG35" s="328"/>
      <c r="AH35" s="328"/>
      <c r="AI35" s="328"/>
      <c r="AJ35" s="328"/>
      <c r="AK35" s="328"/>
      <c r="AL35" s="454">
        <f t="shared" si="8"/>
        <v>60</v>
      </c>
      <c r="AM35" s="220">
        <v>30</v>
      </c>
      <c r="AN35" s="221" t="s">
        <v>189</v>
      </c>
      <c r="AO35" s="221"/>
      <c r="AP35" s="220"/>
      <c r="AQ35" s="220">
        <v>30</v>
      </c>
      <c r="AR35" s="221" t="s">
        <v>189</v>
      </c>
      <c r="AS35" s="221"/>
      <c r="AT35" s="23"/>
      <c r="AU35" s="321"/>
      <c r="AV35" s="23"/>
      <c r="AW35" s="321"/>
      <c r="AX35" s="23"/>
      <c r="AY35" s="321"/>
      <c r="AZ35" s="23"/>
      <c r="BA35" s="321"/>
      <c r="BB35" s="23"/>
      <c r="BC35" s="321"/>
      <c r="BD35" s="23"/>
      <c r="BE35" s="321"/>
      <c r="BF35" s="23"/>
      <c r="BG35" s="321"/>
      <c r="BH35" s="23"/>
      <c r="BI35" s="321"/>
      <c r="BJ35" s="23"/>
      <c r="BK35" s="321"/>
      <c r="BL35" s="23"/>
      <c r="BM35" s="321"/>
      <c r="BN35" s="23"/>
      <c r="BO35" s="321"/>
      <c r="BP35" s="23"/>
      <c r="BQ35" s="321"/>
      <c r="BR35" s="23"/>
      <c r="BS35" s="190"/>
      <c r="BT35" s="23"/>
      <c r="BU35" s="190"/>
      <c r="BV35" s="23"/>
      <c r="BW35" s="97">
        <f t="shared" si="7"/>
        <v>60</v>
      </c>
      <c r="BX35" s="384"/>
      <c r="BY35" s="110"/>
      <c r="BZ35" s="45"/>
      <c r="CA35" s="45"/>
      <c r="CB35" s="97"/>
      <c r="CC35" s="45"/>
      <c r="CD35" s="546"/>
      <c r="CE35" s="546"/>
      <c r="CF35" s="110"/>
      <c r="CG35" s="45"/>
      <c r="CH35" s="45"/>
      <c r="CI35" s="97"/>
      <c r="CJ35" s="45"/>
      <c r="CK35" s="546"/>
      <c r="CL35" s="546"/>
      <c r="CM35" s="110"/>
      <c r="CN35" s="45"/>
      <c r="CO35" s="45"/>
      <c r="CP35" s="97"/>
      <c r="CQ35" s="45"/>
      <c r="CR35" s="546"/>
      <c r="CS35" s="546"/>
      <c r="CT35" s="110"/>
      <c r="CU35" s="45"/>
      <c r="CV35" s="45"/>
      <c r="CW35" s="97"/>
      <c r="CX35" s="45"/>
      <c r="CY35" s="546"/>
      <c r="CZ35" s="546"/>
      <c r="DA35" s="110"/>
      <c r="DB35" s="45"/>
      <c r="DC35" s="45"/>
      <c r="DD35" s="97"/>
      <c r="DE35" s="45"/>
      <c r="DF35" s="546"/>
      <c r="DG35" s="546"/>
      <c r="DH35" s="110"/>
      <c r="DI35" s="45"/>
      <c r="DJ35" s="45"/>
      <c r="DK35" s="97"/>
      <c r="DL35" s="45"/>
      <c r="DM35" s="546"/>
      <c r="DN35" s="546"/>
    </row>
    <row r="36" spans="2:118" s="124" customFormat="1" ht="76.5">
      <c r="B36" s="535"/>
      <c r="C36" s="527"/>
      <c r="D36" s="218" t="s">
        <v>1348</v>
      </c>
      <c r="E36" s="431">
        <v>2E-3</v>
      </c>
      <c r="F36" s="187" t="s">
        <v>1416</v>
      </c>
      <c r="G36" s="187" t="s">
        <v>196</v>
      </c>
      <c r="H36" s="187" t="s">
        <v>197</v>
      </c>
      <c r="I36" s="187" t="s">
        <v>198</v>
      </c>
      <c r="J36" s="385" t="s">
        <v>199</v>
      </c>
      <c r="K36" s="156">
        <v>44743</v>
      </c>
      <c r="L36" s="156">
        <v>47848</v>
      </c>
      <c r="M36" s="193" t="s">
        <v>97</v>
      </c>
      <c r="N36" s="136" t="s">
        <v>200</v>
      </c>
      <c r="O36" s="136" t="s">
        <v>201</v>
      </c>
      <c r="P36" s="193" t="s">
        <v>87</v>
      </c>
      <c r="Q36" s="201">
        <v>0.1</v>
      </c>
      <c r="R36" s="200">
        <v>2022</v>
      </c>
      <c r="S36" s="201">
        <v>0.1</v>
      </c>
      <c r="T36" s="201">
        <v>0.15</v>
      </c>
      <c r="U36" s="201">
        <v>0.2</v>
      </c>
      <c r="V36" s="201">
        <v>0.25</v>
      </c>
      <c r="W36" s="201">
        <v>0.3</v>
      </c>
      <c r="X36" s="201">
        <v>0.35</v>
      </c>
      <c r="Y36" s="201">
        <v>0.4</v>
      </c>
      <c r="Z36" s="201">
        <v>0.45</v>
      </c>
      <c r="AA36" s="201">
        <v>0.5</v>
      </c>
      <c r="AB36" s="201">
        <v>0.5</v>
      </c>
      <c r="AC36" s="331">
        <v>7</v>
      </c>
      <c r="AD36" s="331">
        <v>7.7</v>
      </c>
      <c r="AE36" s="331">
        <v>7.9</v>
      </c>
      <c r="AF36" s="331">
        <v>8.1999999999999993</v>
      </c>
      <c r="AG36" s="331">
        <v>8.4</v>
      </c>
      <c r="AH36" s="331">
        <v>8.6999999999999993</v>
      </c>
      <c r="AI36" s="331">
        <v>8.9</v>
      </c>
      <c r="AJ36" s="331">
        <v>9.1999999999999993</v>
      </c>
      <c r="AK36" s="331">
        <v>9.4</v>
      </c>
      <c r="AL36" s="454">
        <f t="shared" si="8"/>
        <v>75.400000000000006</v>
      </c>
      <c r="AM36" s="347">
        <v>7.45</v>
      </c>
      <c r="AN36" s="136" t="s">
        <v>155</v>
      </c>
      <c r="AO36" s="347"/>
      <c r="AP36" s="136"/>
      <c r="AQ36" s="302">
        <v>7.7</v>
      </c>
      <c r="AR36" s="136" t="s">
        <v>155</v>
      </c>
      <c r="AS36" s="220"/>
      <c r="AT36" s="221"/>
      <c r="AU36" s="302">
        <v>7.9</v>
      </c>
      <c r="AV36" s="136" t="s">
        <v>155</v>
      </c>
      <c r="AW36" s="220"/>
      <c r="AX36" s="221"/>
      <c r="AY36" s="347">
        <v>8.15</v>
      </c>
      <c r="AZ36" s="136" t="s">
        <v>155</v>
      </c>
      <c r="BA36" s="220"/>
      <c r="BB36" s="221"/>
      <c r="BC36" s="347">
        <v>8.35</v>
      </c>
      <c r="BD36" s="136" t="s">
        <v>155</v>
      </c>
      <c r="BE36" s="220"/>
      <c r="BF36" s="221"/>
      <c r="BG36" s="347">
        <v>8.65</v>
      </c>
      <c r="BH36" s="136" t="s">
        <v>155</v>
      </c>
      <c r="BI36" s="220"/>
      <c r="BJ36" s="221"/>
      <c r="BK36" s="302">
        <v>8.9</v>
      </c>
      <c r="BL36" s="136" t="s">
        <v>155</v>
      </c>
      <c r="BM36" s="220"/>
      <c r="BN36" s="221"/>
      <c r="BO36" s="347">
        <v>9.15</v>
      </c>
      <c r="BP36" s="136" t="s">
        <v>155</v>
      </c>
      <c r="BQ36" s="220"/>
      <c r="BR36" s="221"/>
      <c r="BS36" s="302">
        <v>9.4</v>
      </c>
      <c r="BT36" s="136" t="s">
        <v>155</v>
      </c>
      <c r="BU36" s="220"/>
      <c r="BV36" s="221"/>
      <c r="BW36" s="97">
        <f t="shared" si="7"/>
        <v>75.650000000000006</v>
      </c>
      <c r="BX36" s="384"/>
      <c r="BY36" s="110"/>
      <c r="BZ36" s="45"/>
      <c r="CA36" s="45"/>
      <c r="CB36" s="97"/>
      <c r="CC36" s="45"/>
      <c r="CD36" s="546"/>
      <c r="CE36" s="546"/>
      <c r="CF36" s="110"/>
      <c r="CG36" s="45"/>
      <c r="CH36" s="45"/>
      <c r="CI36" s="97"/>
      <c r="CJ36" s="45"/>
      <c r="CK36" s="546"/>
      <c r="CL36" s="546"/>
      <c r="CM36" s="110"/>
      <c r="CN36" s="45"/>
      <c r="CO36" s="45"/>
      <c r="CP36" s="97"/>
      <c r="CQ36" s="45"/>
      <c r="CR36" s="546"/>
      <c r="CS36" s="546"/>
      <c r="CT36" s="110"/>
      <c r="CU36" s="45"/>
      <c r="CV36" s="45"/>
      <c r="CW36" s="97"/>
      <c r="CX36" s="45"/>
      <c r="CY36" s="546"/>
      <c r="CZ36" s="546"/>
      <c r="DA36" s="110"/>
      <c r="DB36" s="45"/>
      <c r="DC36" s="45"/>
      <c r="DD36" s="97"/>
      <c r="DE36" s="45"/>
      <c r="DF36" s="546"/>
      <c r="DG36" s="546"/>
      <c r="DH36" s="110"/>
      <c r="DI36" s="45"/>
      <c r="DJ36" s="45"/>
      <c r="DK36" s="97"/>
      <c r="DL36" s="45"/>
      <c r="DM36" s="546"/>
      <c r="DN36" s="546"/>
    </row>
    <row r="37" spans="2:118" s="124" customFormat="1" ht="76.5">
      <c r="B37" s="535"/>
      <c r="C37" s="527"/>
      <c r="D37" s="218" t="s">
        <v>1349</v>
      </c>
      <c r="E37" s="431">
        <v>2E-3</v>
      </c>
      <c r="F37" s="187" t="s">
        <v>1416</v>
      </c>
      <c r="G37" s="187" t="s">
        <v>196</v>
      </c>
      <c r="H37" s="187" t="s">
        <v>197</v>
      </c>
      <c r="I37" s="187" t="s">
        <v>198</v>
      </c>
      <c r="J37" s="385" t="s">
        <v>199</v>
      </c>
      <c r="K37" s="156">
        <v>44743</v>
      </c>
      <c r="L37" s="156">
        <v>46387</v>
      </c>
      <c r="M37" s="136" t="s">
        <v>97</v>
      </c>
      <c r="N37" s="136" t="s">
        <v>202</v>
      </c>
      <c r="O37" s="136" t="s">
        <v>203</v>
      </c>
      <c r="P37" s="136" t="s">
        <v>87</v>
      </c>
      <c r="Q37" s="201">
        <v>0.3</v>
      </c>
      <c r="R37" s="200">
        <v>2022</v>
      </c>
      <c r="S37" s="201">
        <v>0.3</v>
      </c>
      <c r="T37" s="201">
        <v>0.35</v>
      </c>
      <c r="U37" s="201">
        <v>0.4</v>
      </c>
      <c r="V37" s="201">
        <v>0.45</v>
      </c>
      <c r="W37" s="201">
        <v>0.5</v>
      </c>
      <c r="X37" s="201"/>
      <c r="Y37" s="201"/>
      <c r="Z37" s="201"/>
      <c r="AA37" s="201"/>
      <c r="AB37" s="201">
        <v>0.5</v>
      </c>
      <c r="AC37" s="331">
        <v>7</v>
      </c>
      <c r="AD37" s="331">
        <v>7.7</v>
      </c>
      <c r="AE37" s="331">
        <v>7.9</v>
      </c>
      <c r="AF37" s="331">
        <v>8.1999999999999993</v>
      </c>
      <c r="AG37" s="331">
        <v>8.4</v>
      </c>
      <c r="AH37" s="331"/>
      <c r="AI37" s="331"/>
      <c r="AJ37" s="331"/>
      <c r="AK37" s="331"/>
      <c r="AL37" s="454">
        <f t="shared" si="8"/>
        <v>39.200000000000003</v>
      </c>
      <c r="AM37" s="347">
        <v>7.45</v>
      </c>
      <c r="AN37" s="136" t="s">
        <v>155</v>
      </c>
      <c r="AO37" s="136"/>
      <c r="AP37" s="136"/>
      <c r="AQ37" s="302">
        <v>7.7</v>
      </c>
      <c r="AR37" s="136" t="s">
        <v>155</v>
      </c>
      <c r="AS37" s="136"/>
      <c r="AT37" s="136"/>
      <c r="AU37" s="302">
        <v>7.9</v>
      </c>
      <c r="AV37" s="136" t="s">
        <v>155</v>
      </c>
      <c r="AW37" s="136"/>
      <c r="AX37" s="136"/>
      <c r="AY37" s="347">
        <v>8.15</v>
      </c>
      <c r="AZ37" s="136" t="s">
        <v>155</v>
      </c>
      <c r="BA37" s="136"/>
      <c r="BB37" s="136"/>
      <c r="BC37" s="302">
        <v>8.4</v>
      </c>
      <c r="BD37" s="136" t="s">
        <v>155</v>
      </c>
      <c r="BE37" s="136"/>
      <c r="BF37" s="136"/>
      <c r="BG37" s="136"/>
      <c r="BH37" s="136"/>
      <c r="BI37" s="136"/>
      <c r="BJ37" s="136"/>
      <c r="BK37" s="136"/>
      <c r="BL37" s="136"/>
      <c r="BM37" s="136"/>
      <c r="BN37" s="136"/>
      <c r="BO37" s="136"/>
      <c r="BP37" s="136"/>
      <c r="BQ37" s="136"/>
      <c r="BR37" s="136"/>
      <c r="BS37" s="136"/>
      <c r="BT37" s="136"/>
      <c r="BU37" s="136"/>
      <c r="BV37" s="136"/>
      <c r="BW37" s="97">
        <f t="shared" si="7"/>
        <v>39.6</v>
      </c>
      <c r="BX37" s="384"/>
      <c r="BY37" s="110"/>
      <c r="BZ37" s="45"/>
      <c r="CA37" s="45"/>
      <c r="CB37" s="97"/>
      <c r="CC37" s="45"/>
      <c r="CD37" s="546"/>
      <c r="CE37" s="546"/>
      <c r="CF37" s="110"/>
      <c r="CG37" s="45"/>
      <c r="CH37" s="45"/>
      <c r="CI37" s="97"/>
      <c r="CJ37" s="45"/>
      <c r="CK37" s="546"/>
      <c r="CL37" s="546"/>
      <c r="CM37" s="110"/>
      <c r="CN37" s="45"/>
      <c r="CO37" s="45"/>
      <c r="CP37" s="97"/>
      <c r="CQ37" s="45"/>
      <c r="CR37" s="546"/>
      <c r="CS37" s="546"/>
      <c r="CT37" s="110"/>
      <c r="CU37" s="45"/>
      <c r="CV37" s="45"/>
      <c r="CW37" s="97"/>
      <c r="CX37" s="45"/>
      <c r="CY37" s="546"/>
      <c r="CZ37" s="546"/>
      <c r="DA37" s="110"/>
      <c r="DB37" s="45"/>
      <c r="DC37" s="45"/>
      <c r="DD37" s="97"/>
      <c r="DE37" s="45"/>
      <c r="DF37" s="546"/>
      <c r="DG37" s="546"/>
      <c r="DH37" s="110"/>
      <c r="DI37" s="45"/>
      <c r="DJ37" s="45"/>
      <c r="DK37" s="97"/>
      <c r="DL37" s="45"/>
      <c r="DM37" s="546"/>
      <c r="DN37" s="546"/>
    </row>
    <row r="38" spans="2:118" s="360" customFormat="1" ht="76.5">
      <c r="B38" s="535"/>
      <c r="C38" s="527"/>
      <c r="D38" s="366" t="s">
        <v>1350</v>
      </c>
      <c r="E38" s="431">
        <v>2E-3</v>
      </c>
      <c r="F38" s="187" t="s">
        <v>1416</v>
      </c>
      <c r="G38" s="438" t="s">
        <v>204</v>
      </c>
      <c r="H38" s="438" t="s">
        <v>205</v>
      </c>
      <c r="I38" s="438" t="s">
        <v>206</v>
      </c>
      <c r="J38" s="385" t="s">
        <v>207</v>
      </c>
      <c r="K38" s="362">
        <v>44713</v>
      </c>
      <c r="L38" s="362">
        <v>45657</v>
      </c>
      <c r="M38" s="316" t="s">
        <v>78</v>
      </c>
      <c r="N38" s="316" t="s">
        <v>208</v>
      </c>
      <c r="O38" s="316" t="s">
        <v>209</v>
      </c>
      <c r="P38" s="316" t="s">
        <v>87</v>
      </c>
      <c r="Q38" s="367">
        <v>0.2</v>
      </c>
      <c r="R38" s="316">
        <v>2022</v>
      </c>
      <c r="S38" s="367">
        <v>0.4</v>
      </c>
      <c r="T38" s="367">
        <v>0.7</v>
      </c>
      <c r="U38" s="367">
        <v>1</v>
      </c>
      <c r="V38" s="368"/>
      <c r="W38" s="368"/>
      <c r="X38" s="368"/>
      <c r="Y38" s="368"/>
      <c r="Z38" s="368"/>
      <c r="AA38" s="368"/>
      <c r="AB38" s="367">
        <v>1</v>
      </c>
      <c r="AC38" s="333">
        <v>35.72</v>
      </c>
      <c r="AD38" s="333">
        <v>115.5</v>
      </c>
      <c r="AE38" s="333">
        <v>121</v>
      </c>
      <c r="AF38" s="333"/>
      <c r="AG38" s="333"/>
      <c r="AH38" s="333"/>
      <c r="AI38" s="333"/>
      <c r="AJ38" s="333"/>
      <c r="AK38" s="333"/>
      <c r="AL38" s="387">
        <f t="shared" si="8"/>
        <v>272.22000000000003</v>
      </c>
      <c r="AM38" s="369">
        <v>35.72</v>
      </c>
      <c r="AN38" s="196" t="s">
        <v>114</v>
      </c>
      <c r="AO38" s="316"/>
      <c r="AP38" s="316"/>
      <c r="AQ38" s="369">
        <v>115.5</v>
      </c>
      <c r="AR38" s="196" t="s">
        <v>114</v>
      </c>
      <c r="AS38" s="316"/>
      <c r="AT38" s="316"/>
      <c r="AU38" s="370">
        <v>121</v>
      </c>
      <c r="AV38" s="196" t="s">
        <v>114</v>
      </c>
      <c r="AW38" s="316"/>
      <c r="AX38" s="316"/>
      <c r="AY38" s="369"/>
      <c r="AZ38" s="316"/>
      <c r="BA38" s="316"/>
      <c r="BB38" s="316"/>
      <c r="BC38" s="316"/>
      <c r="BD38" s="316"/>
      <c r="BE38" s="316"/>
      <c r="BF38" s="316"/>
      <c r="BG38" s="316"/>
      <c r="BH38" s="316"/>
      <c r="BI38" s="316"/>
      <c r="BJ38" s="316"/>
      <c r="BK38" s="316"/>
      <c r="BL38" s="316"/>
      <c r="BM38" s="316"/>
      <c r="BN38" s="316"/>
      <c r="BO38" s="316"/>
      <c r="BP38" s="316"/>
      <c r="BQ38" s="316"/>
      <c r="BR38" s="316"/>
      <c r="BS38" s="316"/>
      <c r="BT38" s="316"/>
      <c r="BU38" s="316"/>
      <c r="BV38" s="316"/>
      <c r="BW38" s="97">
        <f t="shared" si="7"/>
        <v>272.22000000000003</v>
      </c>
      <c r="BX38" s="384"/>
      <c r="BY38" s="313"/>
      <c r="BZ38" s="45"/>
      <c r="CA38" s="45"/>
      <c r="CB38" s="97"/>
      <c r="CC38" s="45"/>
      <c r="CD38" s="546"/>
      <c r="CE38" s="546"/>
      <c r="CF38" s="313"/>
      <c r="CG38" s="45"/>
      <c r="CH38" s="45"/>
      <c r="CI38" s="97"/>
      <c r="CJ38" s="45"/>
      <c r="CK38" s="546"/>
      <c r="CL38" s="546"/>
      <c r="CM38" s="313"/>
      <c r="CN38" s="45"/>
      <c r="CO38" s="45"/>
      <c r="CP38" s="97"/>
      <c r="CQ38" s="45"/>
      <c r="CR38" s="546"/>
      <c r="CS38" s="546"/>
      <c r="CT38" s="313"/>
      <c r="CU38" s="45"/>
      <c r="CV38" s="45"/>
      <c r="CW38" s="97"/>
      <c r="CX38" s="45"/>
      <c r="CY38" s="546"/>
      <c r="CZ38" s="546"/>
      <c r="DA38" s="313"/>
      <c r="DB38" s="45"/>
      <c r="DC38" s="45"/>
      <c r="DD38" s="97"/>
      <c r="DE38" s="45"/>
      <c r="DF38" s="546"/>
      <c r="DG38" s="546"/>
      <c r="DH38" s="313"/>
      <c r="DI38" s="45"/>
      <c r="DJ38" s="45"/>
      <c r="DK38" s="97"/>
      <c r="DL38" s="45"/>
      <c r="DM38" s="546"/>
      <c r="DN38" s="546"/>
    </row>
    <row r="39" spans="2:118" s="360" customFormat="1" ht="140.25">
      <c r="B39" s="535"/>
      <c r="C39" s="527"/>
      <c r="D39" s="366" t="s">
        <v>1351</v>
      </c>
      <c r="E39" s="431">
        <v>5.0000000000000001E-3</v>
      </c>
      <c r="F39" s="438" t="s">
        <v>1417</v>
      </c>
      <c r="G39" s="438" t="s">
        <v>159</v>
      </c>
      <c r="H39" s="314" t="s">
        <v>210</v>
      </c>
      <c r="I39" s="314" t="s">
        <v>211</v>
      </c>
      <c r="J39" s="385" t="s">
        <v>212</v>
      </c>
      <c r="K39" s="375">
        <v>44775</v>
      </c>
      <c r="L39" s="192">
        <v>45291</v>
      </c>
      <c r="M39" s="315" t="s">
        <v>97</v>
      </c>
      <c r="N39" s="371" t="s">
        <v>213</v>
      </c>
      <c r="O39" s="371" t="s">
        <v>214</v>
      </c>
      <c r="P39" s="371" t="s">
        <v>87</v>
      </c>
      <c r="Q39" s="203">
        <v>0</v>
      </c>
      <c r="R39" s="200">
        <v>2022</v>
      </c>
      <c r="S39" s="203">
        <v>0.55000000000000004</v>
      </c>
      <c r="T39" s="203">
        <v>1</v>
      </c>
      <c r="U39" s="23"/>
      <c r="V39" s="23"/>
      <c r="W39" s="23"/>
      <c r="X39" s="23"/>
      <c r="Y39" s="23"/>
      <c r="Z39" s="23"/>
      <c r="AA39" s="23"/>
      <c r="AB39" s="203">
        <v>1</v>
      </c>
      <c r="AC39" s="328"/>
      <c r="AD39" s="328"/>
      <c r="AE39" s="328"/>
      <c r="AF39" s="328"/>
      <c r="AG39" s="328"/>
      <c r="AH39" s="328"/>
      <c r="AI39" s="328"/>
      <c r="AJ39" s="328"/>
      <c r="AK39" s="328"/>
      <c r="AL39" s="387" t="str">
        <f t="shared" si="8"/>
        <v/>
      </c>
      <c r="AM39" s="190"/>
      <c r="AN39" s="23" t="s">
        <v>88</v>
      </c>
      <c r="AO39" s="190"/>
      <c r="AP39" s="23"/>
      <c r="AQ39" s="190"/>
      <c r="AR39" s="23" t="s">
        <v>88</v>
      </c>
      <c r="AS39" s="190"/>
      <c r="AT39" s="23"/>
      <c r="AU39" s="321"/>
      <c r="AV39" s="23"/>
      <c r="AW39" s="321"/>
      <c r="AX39" s="23"/>
      <c r="AY39" s="321"/>
      <c r="AZ39" s="23"/>
      <c r="BA39" s="321"/>
      <c r="BB39" s="23"/>
      <c r="BC39" s="321"/>
      <c r="BD39" s="23"/>
      <c r="BE39" s="321"/>
      <c r="BF39" s="23"/>
      <c r="BG39" s="321"/>
      <c r="BH39" s="23"/>
      <c r="BI39" s="321"/>
      <c r="BJ39" s="23"/>
      <c r="BK39" s="321"/>
      <c r="BL39" s="23"/>
      <c r="BM39" s="321"/>
      <c r="BN39" s="23"/>
      <c r="BO39" s="321"/>
      <c r="BP39" s="23"/>
      <c r="BQ39" s="321"/>
      <c r="BR39" s="23"/>
      <c r="BS39" s="190"/>
      <c r="BT39" s="23"/>
      <c r="BU39" s="190"/>
      <c r="BV39" s="23"/>
      <c r="BW39" s="97" t="str">
        <f t="shared" si="7"/>
        <v/>
      </c>
      <c r="BX39" s="384"/>
      <c r="BY39" s="313"/>
      <c r="BZ39" s="45"/>
      <c r="CA39" s="45"/>
      <c r="CB39" s="97"/>
      <c r="CC39" s="45"/>
      <c r="CD39" s="546"/>
      <c r="CE39" s="546"/>
      <c r="CF39" s="313"/>
      <c r="CG39" s="45"/>
      <c r="CH39" s="45"/>
      <c r="CI39" s="97"/>
      <c r="CJ39" s="45"/>
      <c r="CK39" s="546"/>
      <c r="CL39" s="546"/>
      <c r="CM39" s="313"/>
      <c r="CN39" s="45"/>
      <c r="CO39" s="45"/>
      <c r="CP39" s="97"/>
      <c r="CQ39" s="45"/>
      <c r="CR39" s="546"/>
      <c r="CS39" s="546"/>
      <c r="CT39" s="313"/>
      <c r="CU39" s="45"/>
      <c r="CV39" s="45"/>
      <c r="CW39" s="97"/>
      <c r="CX39" s="45"/>
      <c r="CY39" s="546"/>
      <c r="CZ39" s="546"/>
      <c r="DA39" s="313"/>
      <c r="DB39" s="45"/>
      <c r="DC39" s="45"/>
      <c r="DD39" s="97"/>
      <c r="DE39" s="45"/>
      <c r="DF39" s="546"/>
      <c r="DG39" s="546"/>
      <c r="DH39" s="313"/>
      <c r="DI39" s="45"/>
      <c r="DJ39" s="45"/>
      <c r="DK39" s="97"/>
      <c r="DL39" s="45"/>
      <c r="DM39" s="546"/>
      <c r="DN39" s="546"/>
    </row>
    <row r="40" spans="2:118" s="360" customFormat="1" ht="69.75" customHeight="1">
      <c r="B40" s="535"/>
      <c r="C40" s="527"/>
      <c r="D40" s="306" t="s">
        <v>1352</v>
      </c>
      <c r="E40" s="432">
        <v>1E-3</v>
      </c>
      <c r="F40" s="438" t="s">
        <v>90</v>
      </c>
      <c r="G40" s="438" t="s">
        <v>137</v>
      </c>
      <c r="H40" s="438" t="s">
        <v>138</v>
      </c>
      <c r="I40" s="438" t="s">
        <v>186</v>
      </c>
      <c r="J40" s="385" t="s">
        <v>140</v>
      </c>
      <c r="K40" s="364">
        <v>44713</v>
      </c>
      <c r="L40" s="156">
        <v>47848</v>
      </c>
      <c r="M40" s="315" t="s">
        <v>97</v>
      </c>
      <c r="N40" s="315" t="s">
        <v>1094</v>
      </c>
      <c r="O40" s="315" t="s">
        <v>1312</v>
      </c>
      <c r="P40" s="315" t="s">
        <v>87</v>
      </c>
      <c r="Q40" s="203">
        <v>0.24</v>
      </c>
      <c r="R40" s="216">
        <v>2021</v>
      </c>
      <c r="S40" s="203">
        <v>0.24</v>
      </c>
      <c r="T40" s="203">
        <v>0.25</v>
      </c>
      <c r="U40" s="203">
        <v>0.27</v>
      </c>
      <c r="V40" s="203">
        <v>0.28000000000000003</v>
      </c>
      <c r="W40" s="203">
        <v>0.28999999999999998</v>
      </c>
      <c r="X40" s="203">
        <v>0.3</v>
      </c>
      <c r="Y40" s="203">
        <v>0.31</v>
      </c>
      <c r="Z40" s="203">
        <v>0.33</v>
      </c>
      <c r="AA40" s="203">
        <v>0.35</v>
      </c>
      <c r="AB40" s="203">
        <v>0.35</v>
      </c>
      <c r="AC40" s="227"/>
      <c r="AD40" s="227"/>
      <c r="AE40" s="227"/>
      <c r="AF40" s="227"/>
      <c r="AG40" s="227"/>
      <c r="AH40" s="227"/>
      <c r="AI40" s="227"/>
      <c r="AJ40" s="227"/>
      <c r="AK40" s="227"/>
      <c r="AL40" s="214" t="str">
        <f t="shared" ref="AL40" si="15">IF(SUM(AC40:AK40)=0,"",SUM(AC40:AK40))</f>
        <v/>
      </c>
      <c r="AM40" s="190"/>
      <c r="AN40" s="194" t="s">
        <v>956</v>
      </c>
      <c r="AO40" s="190"/>
      <c r="AP40" s="194"/>
      <c r="AQ40" s="190"/>
      <c r="AR40" s="194" t="s">
        <v>956</v>
      </c>
      <c r="AS40" s="190"/>
      <c r="AT40" s="194"/>
      <c r="AU40" s="190"/>
      <c r="AV40" s="194" t="s">
        <v>956</v>
      </c>
      <c r="AW40" s="190"/>
      <c r="AX40" s="194"/>
      <c r="AY40" s="190"/>
      <c r="AZ40" s="194" t="s">
        <v>956</v>
      </c>
      <c r="BA40" s="190"/>
      <c r="BB40" s="194"/>
      <c r="BC40" s="190"/>
      <c r="BD40" s="194" t="s">
        <v>956</v>
      </c>
      <c r="BE40" s="190"/>
      <c r="BF40" s="194"/>
      <c r="BG40" s="190"/>
      <c r="BH40" s="194" t="s">
        <v>956</v>
      </c>
      <c r="BI40" s="190"/>
      <c r="BJ40" s="194"/>
      <c r="BK40" s="190"/>
      <c r="BL40" s="194" t="s">
        <v>956</v>
      </c>
      <c r="BM40" s="190"/>
      <c r="BN40" s="194"/>
      <c r="BO40" s="190"/>
      <c r="BP40" s="194" t="s">
        <v>956</v>
      </c>
      <c r="BQ40" s="190"/>
      <c r="BR40" s="194"/>
      <c r="BS40" s="190"/>
      <c r="BT40" s="194" t="s">
        <v>956</v>
      </c>
      <c r="BU40" s="190"/>
      <c r="BV40" s="194"/>
      <c r="BW40" s="97" t="str">
        <f t="shared" si="7"/>
        <v/>
      </c>
      <c r="BX40" s="449"/>
      <c r="BY40" s="326"/>
      <c r="BZ40" s="325"/>
      <c r="CA40" s="325"/>
      <c r="CB40" s="214"/>
      <c r="CC40" s="325"/>
      <c r="CD40" s="546"/>
      <c r="CE40" s="546"/>
      <c r="CF40" s="326"/>
      <c r="CG40" s="325"/>
      <c r="CH40" s="325"/>
      <c r="CI40" s="214"/>
      <c r="CJ40" s="325"/>
      <c r="CK40" s="546"/>
      <c r="CL40" s="546"/>
      <c r="CM40" s="326"/>
      <c r="CN40" s="325"/>
      <c r="CO40" s="325"/>
      <c r="CP40" s="214"/>
      <c r="CQ40" s="325"/>
      <c r="CR40" s="546"/>
      <c r="CS40" s="546"/>
      <c r="CT40" s="326"/>
      <c r="CU40" s="325"/>
      <c r="CV40" s="325"/>
      <c r="CW40" s="214"/>
      <c r="CX40" s="325"/>
      <c r="CY40" s="546"/>
      <c r="CZ40" s="546"/>
      <c r="DA40" s="326"/>
      <c r="DB40" s="325"/>
      <c r="DC40" s="325"/>
      <c r="DD40" s="214"/>
      <c r="DE40" s="325"/>
      <c r="DF40" s="546"/>
      <c r="DG40" s="546"/>
      <c r="DH40" s="326"/>
      <c r="DI40" s="325"/>
      <c r="DJ40" s="325"/>
      <c r="DK40" s="214"/>
      <c r="DL40" s="325"/>
      <c r="DM40" s="546"/>
      <c r="DN40" s="546"/>
    </row>
    <row r="41" spans="2:118" s="360" customFormat="1" ht="38.25">
      <c r="B41" s="535"/>
      <c r="C41" s="527"/>
      <c r="D41" s="264" t="s">
        <v>1353</v>
      </c>
      <c r="E41" s="432">
        <v>1E-3</v>
      </c>
      <c r="F41" s="438" t="s">
        <v>1418</v>
      </c>
      <c r="G41" s="438" t="s">
        <v>152</v>
      </c>
      <c r="H41" s="438" t="s">
        <v>215</v>
      </c>
      <c r="I41" s="438" t="s">
        <v>216</v>
      </c>
      <c r="J41" s="385" t="s">
        <v>217</v>
      </c>
      <c r="K41" s="362">
        <v>45298</v>
      </c>
      <c r="L41" s="156">
        <v>47848</v>
      </c>
      <c r="M41" s="315" t="s">
        <v>97</v>
      </c>
      <c r="N41" s="315" t="s">
        <v>218</v>
      </c>
      <c r="O41" s="315" t="s">
        <v>219</v>
      </c>
      <c r="P41" s="315" t="s">
        <v>87</v>
      </c>
      <c r="Q41" s="23">
        <v>0</v>
      </c>
      <c r="R41" s="200">
        <v>2022</v>
      </c>
      <c r="S41" s="23"/>
      <c r="T41" s="23"/>
      <c r="U41" s="23">
        <v>1</v>
      </c>
      <c r="V41" s="23">
        <v>2</v>
      </c>
      <c r="W41" s="23">
        <v>3</v>
      </c>
      <c r="X41" s="23">
        <v>4</v>
      </c>
      <c r="Y41" s="23">
        <v>5</v>
      </c>
      <c r="Z41" s="23">
        <v>6</v>
      </c>
      <c r="AA41" s="23">
        <v>7</v>
      </c>
      <c r="AB41" s="23">
        <v>7</v>
      </c>
      <c r="AC41" s="328"/>
      <c r="AD41" s="328"/>
      <c r="AE41" s="328"/>
      <c r="AF41" s="328"/>
      <c r="AG41" s="328"/>
      <c r="AH41" s="328"/>
      <c r="AI41" s="328"/>
      <c r="AJ41" s="328"/>
      <c r="AK41" s="328"/>
      <c r="AL41" s="387" t="str">
        <f t="shared" si="8"/>
        <v/>
      </c>
      <c r="AM41" s="190"/>
      <c r="AN41" s="23"/>
      <c r="AO41" s="190"/>
      <c r="AP41" s="23"/>
      <c r="AQ41" s="190"/>
      <c r="AR41" s="23"/>
      <c r="AS41" s="190"/>
      <c r="AT41" s="23"/>
      <c r="AU41" s="321"/>
      <c r="AV41" s="23" t="s">
        <v>126</v>
      </c>
      <c r="AW41" s="321"/>
      <c r="AX41" s="23"/>
      <c r="AY41" s="321"/>
      <c r="AZ41" s="23" t="s">
        <v>126</v>
      </c>
      <c r="BA41" s="321"/>
      <c r="BB41" s="23"/>
      <c r="BC41" s="321"/>
      <c r="BD41" s="23" t="s">
        <v>126</v>
      </c>
      <c r="BE41" s="321"/>
      <c r="BF41" s="23"/>
      <c r="BG41" s="321"/>
      <c r="BH41" s="23" t="s">
        <v>126</v>
      </c>
      <c r="BI41" s="321"/>
      <c r="BJ41" s="23"/>
      <c r="BK41" s="321"/>
      <c r="BL41" s="23" t="s">
        <v>126</v>
      </c>
      <c r="BM41" s="321"/>
      <c r="BN41" s="23"/>
      <c r="BO41" s="321"/>
      <c r="BP41" s="23" t="s">
        <v>126</v>
      </c>
      <c r="BQ41" s="321"/>
      <c r="BR41" s="23"/>
      <c r="BS41" s="321"/>
      <c r="BT41" s="23" t="s">
        <v>126</v>
      </c>
      <c r="BU41" s="321"/>
      <c r="BV41" s="23"/>
      <c r="BW41" s="97" t="str">
        <f t="shared" si="7"/>
        <v/>
      </c>
      <c r="BX41" s="384"/>
      <c r="BY41" s="326"/>
      <c r="BZ41" s="325"/>
      <c r="CA41" s="325"/>
      <c r="CB41" s="97"/>
      <c r="CC41" s="325"/>
      <c r="CD41" s="546"/>
      <c r="CE41" s="546"/>
      <c r="CF41" s="326"/>
      <c r="CG41" s="325"/>
      <c r="CH41" s="325"/>
      <c r="CI41" s="97"/>
      <c r="CJ41" s="325"/>
      <c r="CK41" s="546"/>
      <c r="CL41" s="546"/>
      <c r="CM41" s="326"/>
      <c r="CN41" s="325"/>
      <c r="CO41" s="325"/>
      <c r="CP41" s="97"/>
      <c r="CQ41" s="325"/>
      <c r="CR41" s="546"/>
      <c r="CS41" s="546"/>
      <c r="CT41" s="326"/>
      <c r="CU41" s="325"/>
      <c r="CV41" s="325"/>
      <c r="CW41" s="97"/>
      <c r="CX41" s="325"/>
      <c r="CY41" s="546"/>
      <c r="CZ41" s="546"/>
      <c r="DA41" s="326"/>
      <c r="DB41" s="325"/>
      <c r="DC41" s="325"/>
      <c r="DD41" s="97"/>
      <c r="DE41" s="325"/>
      <c r="DF41" s="546"/>
      <c r="DG41" s="546"/>
      <c r="DH41" s="326"/>
      <c r="DI41" s="325"/>
      <c r="DJ41" s="325"/>
      <c r="DK41" s="97"/>
      <c r="DL41" s="325"/>
      <c r="DM41" s="546"/>
      <c r="DN41" s="546"/>
    </row>
    <row r="42" spans="2:118" s="360" customFormat="1" ht="51">
      <c r="B42" s="535"/>
      <c r="C42" s="527"/>
      <c r="D42" s="366" t="s">
        <v>1354</v>
      </c>
      <c r="E42" s="431">
        <v>1E-3</v>
      </c>
      <c r="F42" s="438" t="s">
        <v>1416</v>
      </c>
      <c r="G42" s="438" t="s">
        <v>220</v>
      </c>
      <c r="H42" s="438" t="s">
        <v>221</v>
      </c>
      <c r="I42" s="438" t="s">
        <v>222</v>
      </c>
      <c r="J42" s="385" t="s">
        <v>223</v>
      </c>
      <c r="K42" s="362">
        <v>44713</v>
      </c>
      <c r="L42" s="156">
        <v>47848</v>
      </c>
      <c r="M42" s="316" t="s">
        <v>78</v>
      </c>
      <c r="N42" s="316" t="s">
        <v>224</v>
      </c>
      <c r="O42" s="316" t="s">
        <v>225</v>
      </c>
      <c r="P42" s="316" t="s">
        <v>87</v>
      </c>
      <c r="Q42" s="316">
        <v>0</v>
      </c>
      <c r="R42" s="200">
        <v>2022</v>
      </c>
      <c r="S42" s="316">
        <v>2</v>
      </c>
      <c r="T42" s="316">
        <v>4</v>
      </c>
      <c r="U42" s="316">
        <v>6</v>
      </c>
      <c r="V42" s="316">
        <v>8</v>
      </c>
      <c r="W42" s="316">
        <v>10</v>
      </c>
      <c r="X42" s="316">
        <v>12</v>
      </c>
      <c r="Y42" s="316">
        <v>14</v>
      </c>
      <c r="Z42" s="316">
        <v>16</v>
      </c>
      <c r="AA42" s="316">
        <v>18</v>
      </c>
      <c r="AB42" s="316">
        <f>+AA42</f>
        <v>18</v>
      </c>
      <c r="AC42" s="333">
        <v>7.62</v>
      </c>
      <c r="AD42" s="333">
        <v>7.62</v>
      </c>
      <c r="AE42" s="333">
        <v>7.62</v>
      </c>
      <c r="AF42" s="333">
        <v>7.62</v>
      </c>
      <c r="AG42" s="333">
        <v>7.62</v>
      </c>
      <c r="AH42" s="333">
        <v>7.62</v>
      </c>
      <c r="AI42" s="333">
        <v>7.62</v>
      </c>
      <c r="AJ42" s="333">
        <v>7.62</v>
      </c>
      <c r="AK42" s="333">
        <v>7.62</v>
      </c>
      <c r="AL42" s="387">
        <f t="shared" si="8"/>
        <v>68.58</v>
      </c>
      <c r="AM42" s="369">
        <v>7.62</v>
      </c>
      <c r="AN42" s="316" t="s">
        <v>119</v>
      </c>
      <c r="AO42" s="316"/>
      <c r="AP42" s="316"/>
      <c r="AQ42" s="369">
        <v>7.62</v>
      </c>
      <c r="AR42" s="316" t="s">
        <v>119</v>
      </c>
      <c r="AS42" s="316"/>
      <c r="AT42" s="316"/>
      <c r="AU42" s="369">
        <v>7.62</v>
      </c>
      <c r="AV42" s="316" t="s">
        <v>119</v>
      </c>
      <c r="AW42" s="316"/>
      <c r="AX42" s="316"/>
      <c r="AY42" s="369">
        <v>7.62</v>
      </c>
      <c r="AZ42" s="316" t="s">
        <v>119</v>
      </c>
      <c r="BA42" s="316"/>
      <c r="BB42" s="316"/>
      <c r="BC42" s="369">
        <v>7.62</v>
      </c>
      <c r="BD42" s="316" t="s">
        <v>119</v>
      </c>
      <c r="BE42" s="316"/>
      <c r="BF42" s="316"/>
      <c r="BG42" s="369">
        <v>7.62</v>
      </c>
      <c r="BH42" s="316" t="s">
        <v>119</v>
      </c>
      <c r="BI42" s="316"/>
      <c r="BJ42" s="316"/>
      <c r="BK42" s="369">
        <v>7.62</v>
      </c>
      <c r="BL42" s="316" t="s">
        <v>119</v>
      </c>
      <c r="BM42" s="316"/>
      <c r="BN42" s="316"/>
      <c r="BO42" s="369">
        <v>7.62</v>
      </c>
      <c r="BP42" s="316" t="s">
        <v>119</v>
      </c>
      <c r="BQ42" s="316"/>
      <c r="BR42" s="316"/>
      <c r="BS42" s="369">
        <v>7.62</v>
      </c>
      <c r="BT42" s="316" t="s">
        <v>119</v>
      </c>
      <c r="BU42" s="316"/>
      <c r="BV42" s="316"/>
      <c r="BW42" s="97">
        <f t="shared" si="7"/>
        <v>68.58</v>
      </c>
      <c r="BX42" s="384"/>
      <c r="BY42" s="313"/>
      <c r="BZ42" s="45"/>
      <c r="CA42" s="45"/>
      <c r="CB42" s="97"/>
      <c r="CC42" s="45"/>
      <c r="CD42" s="546"/>
      <c r="CE42" s="546"/>
      <c r="CF42" s="313"/>
      <c r="CG42" s="45"/>
      <c r="CH42" s="45"/>
      <c r="CI42" s="97"/>
      <c r="CJ42" s="45"/>
      <c r="CK42" s="546"/>
      <c r="CL42" s="546"/>
      <c r="CM42" s="313"/>
      <c r="CN42" s="45"/>
      <c r="CO42" s="45"/>
      <c r="CP42" s="97"/>
      <c r="CQ42" s="45"/>
      <c r="CR42" s="546"/>
      <c r="CS42" s="546"/>
      <c r="CT42" s="313"/>
      <c r="CU42" s="45"/>
      <c r="CV42" s="45"/>
      <c r="CW42" s="97"/>
      <c r="CX42" s="45"/>
      <c r="CY42" s="546"/>
      <c r="CZ42" s="546"/>
      <c r="DA42" s="313"/>
      <c r="DB42" s="45"/>
      <c r="DC42" s="45"/>
      <c r="DD42" s="97"/>
      <c r="DE42" s="45"/>
      <c r="DF42" s="546"/>
      <c r="DG42" s="546"/>
      <c r="DH42" s="313"/>
      <c r="DI42" s="45"/>
      <c r="DJ42" s="45"/>
      <c r="DK42" s="97"/>
      <c r="DL42" s="45"/>
      <c r="DM42" s="546"/>
      <c r="DN42" s="546"/>
    </row>
    <row r="43" spans="2:118" s="360" customFormat="1" ht="89.25">
      <c r="B43" s="535"/>
      <c r="C43" s="527"/>
      <c r="D43" s="264" t="s">
        <v>1355</v>
      </c>
      <c r="E43" s="432">
        <v>5.0000000000000001E-3</v>
      </c>
      <c r="F43" s="438" t="s">
        <v>1419</v>
      </c>
      <c r="G43" s="438" t="s">
        <v>137</v>
      </c>
      <c r="H43" s="438" t="s">
        <v>138</v>
      </c>
      <c r="I43" s="438" t="s">
        <v>226</v>
      </c>
      <c r="J43" s="385" t="s">
        <v>227</v>
      </c>
      <c r="K43" s="361">
        <v>44683</v>
      </c>
      <c r="L43" s="156">
        <v>47848</v>
      </c>
      <c r="M43" s="371" t="s">
        <v>78</v>
      </c>
      <c r="N43" s="371" t="s">
        <v>990</v>
      </c>
      <c r="O43" s="371" t="s">
        <v>1201</v>
      </c>
      <c r="P43" s="371" t="s">
        <v>87</v>
      </c>
      <c r="Q43" s="325">
        <v>0</v>
      </c>
      <c r="R43" s="280">
        <v>2021</v>
      </c>
      <c r="S43" s="325">
        <v>0.6</v>
      </c>
      <c r="T43" s="325">
        <v>0.65</v>
      </c>
      <c r="U43" s="325">
        <v>0.7</v>
      </c>
      <c r="V43" s="325">
        <v>0.75</v>
      </c>
      <c r="W43" s="325">
        <v>0.8</v>
      </c>
      <c r="X43" s="325">
        <v>0.85</v>
      </c>
      <c r="Y43" s="325">
        <v>0.9</v>
      </c>
      <c r="Z43" s="325">
        <v>0.95</v>
      </c>
      <c r="AA43" s="325">
        <v>1</v>
      </c>
      <c r="AB43" s="325">
        <v>1.0000000000000002</v>
      </c>
      <c r="AC43" s="328"/>
      <c r="AD43" s="328"/>
      <c r="AE43" s="328"/>
      <c r="AF43" s="328"/>
      <c r="AG43" s="328"/>
      <c r="AH43" s="328"/>
      <c r="AI43" s="328"/>
      <c r="AJ43" s="328"/>
      <c r="AK43" s="328"/>
      <c r="AL43" s="387" t="str">
        <f t="shared" si="8"/>
        <v/>
      </c>
      <c r="AM43" s="190"/>
      <c r="AN43" s="23" t="s">
        <v>88</v>
      </c>
      <c r="AO43" s="190"/>
      <c r="AP43" s="23"/>
      <c r="AQ43" s="190"/>
      <c r="AR43" s="23" t="s">
        <v>88</v>
      </c>
      <c r="AS43" s="190"/>
      <c r="AT43" s="23"/>
      <c r="AU43" s="190"/>
      <c r="AV43" s="23" t="s">
        <v>88</v>
      </c>
      <c r="AW43" s="190"/>
      <c r="AX43" s="23"/>
      <c r="AY43" s="190"/>
      <c r="AZ43" s="23" t="s">
        <v>88</v>
      </c>
      <c r="BA43" s="190"/>
      <c r="BB43" s="23"/>
      <c r="BC43" s="190"/>
      <c r="BD43" s="23" t="s">
        <v>88</v>
      </c>
      <c r="BE43" s="190"/>
      <c r="BF43" s="23"/>
      <c r="BG43" s="190"/>
      <c r="BH43" s="23" t="s">
        <v>88</v>
      </c>
      <c r="BI43" s="190"/>
      <c r="BJ43" s="23"/>
      <c r="BK43" s="190"/>
      <c r="BL43" s="23" t="s">
        <v>88</v>
      </c>
      <c r="BM43" s="190"/>
      <c r="BN43" s="23"/>
      <c r="BO43" s="190"/>
      <c r="BP43" s="23" t="s">
        <v>88</v>
      </c>
      <c r="BQ43" s="190"/>
      <c r="BR43" s="23"/>
      <c r="BS43" s="190"/>
      <c r="BT43" s="23" t="s">
        <v>88</v>
      </c>
      <c r="BU43" s="190"/>
      <c r="BV43" s="23"/>
      <c r="BW43" s="97" t="str">
        <f t="shared" si="7"/>
        <v/>
      </c>
      <c r="BX43" s="384"/>
      <c r="BY43" s="326"/>
      <c r="BZ43" s="325"/>
      <c r="CA43" s="325"/>
      <c r="CB43" s="97"/>
      <c r="CC43" s="325"/>
      <c r="CD43" s="546"/>
      <c r="CE43" s="546"/>
      <c r="CF43" s="326"/>
      <c r="CG43" s="325"/>
      <c r="CH43" s="325"/>
      <c r="CI43" s="97"/>
      <c r="CJ43" s="325"/>
      <c r="CK43" s="546"/>
      <c r="CL43" s="546"/>
      <c r="CM43" s="326"/>
      <c r="CN43" s="325"/>
      <c r="CO43" s="325"/>
      <c r="CP43" s="97"/>
      <c r="CQ43" s="325"/>
      <c r="CR43" s="546"/>
      <c r="CS43" s="546"/>
      <c r="CT43" s="326"/>
      <c r="CU43" s="325"/>
      <c r="CV43" s="325"/>
      <c r="CW43" s="97"/>
      <c r="CX43" s="325"/>
      <c r="CY43" s="546"/>
      <c r="CZ43" s="546"/>
      <c r="DA43" s="326"/>
      <c r="DB43" s="325"/>
      <c r="DC43" s="325"/>
      <c r="DD43" s="97"/>
      <c r="DE43" s="325"/>
      <c r="DF43" s="546"/>
      <c r="DG43" s="546"/>
      <c r="DH43" s="326"/>
      <c r="DI43" s="325"/>
      <c r="DJ43" s="325"/>
      <c r="DK43" s="97"/>
      <c r="DL43" s="325"/>
      <c r="DM43" s="546"/>
      <c r="DN43" s="546"/>
    </row>
    <row r="44" spans="2:118" s="360" customFormat="1" ht="114.75">
      <c r="B44" s="535"/>
      <c r="C44" s="527"/>
      <c r="D44" s="264" t="s">
        <v>1356</v>
      </c>
      <c r="E44" s="432">
        <v>1E-3</v>
      </c>
      <c r="F44" s="438" t="s">
        <v>1420</v>
      </c>
      <c r="G44" s="438" t="s">
        <v>228</v>
      </c>
      <c r="H44" s="438" t="s">
        <v>229</v>
      </c>
      <c r="I44" s="438" t="s">
        <v>226</v>
      </c>
      <c r="J44" s="385" t="s">
        <v>227</v>
      </c>
      <c r="K44" s="361">
        <v>44714</v>
      </c>
      <c r="L44" s="156">
        <v>47848</v>
      </c>
      <c r="M44" s="371" t="s">
        <v>97</v>
      </c>
      <c r="N44" s="371" t="s">
        <v>991</v>
      </c>
      <c r="O44" s="371" t="s">
        <v>992</v>
      </c>
      <c r="P44" s="371" t="s">
        <v>87</v>
      </c>
      <c r="Q44" s="325">
        <v>0</v>
      </c>
      <c r="R44" s="280">
        <v>2021</v>
      </c>
      <c r="S44" s="325">
        <v>0.2</v>
      </c>
      <c r="T44" s="325">
        <v>0.3</v>
      </c>
      <c r="U44" s="325">
        <v>0.4</v>
      </c>
      <c r="V44" s="325">
        <v>0.5</v>
      </c>
      <c r="W44" s="325">
        <v>0.7</v>
      </c>
      <c r="X44" s="325">
        <v>0.9</v>
      </c>
      <c r="Y44" s="325">
        <v>0.95</v>
      </c>
      <c r="Z44" s="325">
        <v>0.97</v>
      </c>
      <c r="AA44" s="325">
        <v>1</v>
      </c>
      <c r="AB44" s="325">
        <v>1</v>
      </c>
      <c r="AC44" s="328">
        <v>800</v>
      </c>
      <c r="AD44" s="328">
        <v>1000</v>
      </c>
      <c r="AE44" s="328">
        <v>3000</v>
      </c>
      <c r="AF44" s="328">
        <v>3000</v>
      </c>
      <c r="AG44" s="328">
        <v>3000</v>
      </c>
      <c r="AH44" s="328">
        <v>3000</v>
      </c>
      <c r="AI44" s="328">
        <v>3000</v>
      </c>
      <c r="AJ44" s="328">
        <v>3000</v>
      </c>
      <c r="AK44" s="328">
        <v>3000</v>
      </c>
      <c r="AL44" s="387">
        <f t="shared" si="8"/>
        <v>22800</v>
      </c>
      <c r="AM44" s="214">
        <v>800</v>
      </c>
      <c r="AN44" s="272" t="s">
        <v>114</v>
      </c>
      <c r="AO44" s="455"/>
      <c r="AP44" s="365"/>
      <c r="AQ44" s="214">
        <v>1000</v>
      </c>
      <c r="AR44" s="272" t="s">
        <v>114</v>
      </c>
      <c r="AS44" s="455"/>
      <c r="AT44" s="365"/>
      <c r="AU44" s="214">
        <v>3000</v>
      </c>
      <c r="AV44" s="272" t="s">
        <v>114</v>
      </c>
      <c r="AW44" s="455"/>
      <c r="AX44" s="365"/>
      <c r="AY44" s="214">
        <v>3000</v>
      </c>
      <c r="AZ44" s="272" t="s">
        <v>114</v>
      </c>
      <c r="BA44" s="455"/>
      <c r="BB44" s="365"/>
      <c r="BC44" s="214">
        <v>3000</v>
      </c>
      <c r="BD44" s="272" t="s">
        <v>114</v>
      </c>
      <c r="BE44" s="455"/>
      <c r="BF44" s="365"/>
      <c r="BG44" s="214">
        <v>3000</v>
      </c>
      <c r="BH44" s="272" t="s">
        <v>114</v>
      </c>
      <c r="BI44" s="455"/>
      <c r="BJ44" s="365"/>
      <c r="BK44" s="214">
        <v>3000</v>
      </c>
      <c r="BL44" s="272" t="s">
        <v>114</v>
      </c>
      <c r="BM44" s="455"/>
      <c r="BN44" s="365"/>
      <c r="BO44" s="214">
        <v>3000</v>
      </c>
      <c r="BP44" s="272" t="s">
        <v>114</v>
      </c>
      <c r="BQ44" s="455"/>
      <c r="BR44" s="365"/>
      <c r="BS44" s="214">
        <v>3000</v>
      </c>
      <c r="BT44" s="272" t="s">
        <v>114</v>
      </c>
      <c r="BU44" s="455"/>
      <c r="BV44" s="365"/>
      <c r="BW44" s="97">
        <f t="shared" si="7"/>
        <v>22800</v>
      </c>
      <c r="BX44" s="384"/>
      <c r="BY44" s="326"/>
      <c r="BZ44" s="325"/>
      <c r="CA44" s="325"/>
      <c r="CB44" s="97"/>
      <c r="CC44" s="325"/>
      <c r="CD44" s="546"/>
      <c r="CE44" s="546"/>
      <c r="CF44" s="326"/>
      <c r="CG44" s="325"/>
      <c r="CH44" s="325"/>
      <c r="CI44" s="97"/>
      <c r="CJ44" s="325"/>
      <c r="CK44" s="546"/>
      <c r="CL44" s="546"/>
      <c r="CM44" s="326"/>
      <c r="CN44" s="325"/>
      <c r="CO44" s="325"/>
      <c r="CP44" s="97"/>
      <c r="CQ44" s="325"/>
      <c r="CR44" s="546"/>
      <c r="CS44" s="546"/>
      <c r="CT44" s="326"/>
      <c r="CU44" s="325"/>
      <c r="CV44" s="325"/>
      <c r="CW44" s="97"/>
      <c r="CX44" s="325"/>
      <c r="CY44" s="546"/>
      <c r="CZ44" s="546"/>
      <c r="DA44" s="326"/>
      <c r="DB44" s="325"/>
      <c r="DC44" s="325"/>
      <c r="DD44" s="97"/>
      <c r="DE44" s="325"/>
      <c r="DF44" s="546"/>
      <c r="DG44" s="546"/>
      <c r="DH44" s="326"/>
      <c r="DI44" s="325"/>
      <c r="DJ44" s="325"/>
      <c r="DK44" s="97"/>
      <c r="DL44" s="325"/>
      <c r="DM44" s="546"/>
      <c r="DN44" s="546"/>
    </row>
    <row r="45" spans="2:118" s="360" customFormat="1" ht="165.75">
      <c r="B45" s="535"/>
      <c r="C45" s="527"/>
      <c r="D45" s="264" t="s">
        <v>1357</v>
      </c>
      <c r="E45" s="432">
        <v>1E-3</v>
      </c>
      <c r="F45" s="438" t="s">
        <v>1420</v>
      </c>
      <c r="G45" s="438" t="s">
        <v>228</v>
      </c>
      <c r="H45" s="438" t="s">
        <v>229</v>
      </c>
      <c r="I45" s="438" t="s">
        <v>226</v>
      </c>
      <c r="J45" s="385" t="s">
        <v>227</v>
      </c>
      <c r="K45" s="361">
        <v>44714</v>
      </c>
      <c r="L45" s="156">
        <v>47848</v>
      </c>
      <c r="M45" s="315" t="s">
        <v>78</v>
      </c>
      <c r="N45" s="371" t="s">
        <v>1202</v>
      </c>
      <c r="O45" s="371" t="s">
        <v>1203</v>
      </c>
      <c r="P45" s="371" t="s">
        <v>87</v>
      </c>
      <c r="Q45" s="325">
        <v>0</v>
      </c>
      <c r="R45" s="280">
        <v>2022</v>
      </c>
      <c r="S45" s="372">
        <f>100%/9</f>
        <v>0.1111111111111111</v>
      </c>
      <c r="T45" s="372">
        <f t="shared" ref="T45" si="16">+S45+100%/9</f>
        <v>0.22222222222222221</v>
      </c>
      <c r="U45" s="372">
        <f t="shared" ref="U45" si="17">+T45+100%/9</f>
        <v>0.33333333333333331</v>
      </c>
      <c r="V45" s="372">
        <f t="shared" ref="V45" si="18">+U45+100%/9</f>
        <v>0.44444444444444442</v>
      </c>
      <c r="W45" s="372">
        <f t="shared" ref="W45" si="19">+V45+100%/9</f>
        <v>0.55555555555555558</v>
      </c>
      <c r="X45" s="372">
        <f t="shared" ref="X45" si="20">+W45+100%/9</f>
        <v>0.66666666666666674</v>
      </c>
      <c r="Y45" s="372">
        <f t="shared" ref="Y45" si="21">+X45+100%/9</f>
        <v>0.7777777777777779</v>
      </c>
      <c r="Z45" s="372">
        <f t="shared" ref="Z45" si="22">+Y45+100%/9</f>
        <v>0.88888888888888906</v>
      </c>
      <c r="AA45" s="372">
        <f t="shared" ref="AA45" si="23">+Z45+100%/9</f>
        <v>1.0000000000000002</v>
      </c>
      <c r="AB45" s="372">
        <v>1</v>
      </c>
      <c r="AC45" s="328"/>
      <c r="AD45" s="328"/>
      <c r="AE45" s="328"/>
      <c r="AF45" s="328"/>
      <c r="AG45" s="328"/>
      <c r="AH45" s="328"/>
      <c r="AI45" s="328"/>
      <c r="AJ45" s="328"/>
      <c r="AK45" s="328"/>
      <c r="AL45" s="387" t="str">
        <f t="shared" si="8"/>
        <v/>
      </c>
      <c r="AM45" s="190"/>
      <c r="AN45" s="23" t="s">
        <v>88</v>
      </c>
      <c r="AO45" s="190"/>
      <c r="AP45" s="23"/>
      <c r="AQ45" s="190"/>
      <c r="AR45" s="23" t="s">
        <v>88</v>
      </c>
      <c r="AS45" s="190"/>
      <c r="AT45" s="23"/>
      <c r="AU45" s="190"/>
      <c r="AV45" s="23" t="s">
        <v>88</v>
      </c>
      <c r="AW45" s="190"/>
      <c r="AX45" s="23"/>
      <c r="AY45" s="190"/>
      <c r="AZ45" s="23" t="s">
        <v>88</v>
      </c>
      <c r="BA45" s="190"/>
      <c r="BB45" s="23"/>
      <c r="BC45" s="190"/>
      <c r="BD45" s="23" t="s">
        <v>88</v>
      </c>
      <c r="BE45" s="190"/>
      <c r="BF45" s="23"/>
      <c r="BG45" s="190"/>
      <c r="BH45" s="23" t="s">
        <v>88</v>
      </c>
      <c r="BI45" s="190"/>
      <c r="BJ45" s="23"/>
      <c r="BK45" s="190"/>
      <c r="BL45" s="23" t="s">
        <v>88</v>
      </c>
      <c r="BM45" s="190"/>
      <c r="BN45" s="23"/>
      <c r="BO45" s="190"/>
      <c r="BP45" s="23" t="s">
        <v>88</v>
      </c>
      <c r="BQ45" s="190"/>
      <c r="BR45" s="23"/>
      <c r="BS45" s="190"/>
      <c r="BT45" s="23" t="s">
        <v>88</v>
      </c>
      <c r="BU45" s="190"/>
      <c r="BV45" s="23"/>
      <c r="BW45" s="97" t="str">
        <f t="shared" si="7"/>
        <v/>
      </c>
      <c r="BX45" s="384"/>
      <c r="BY45" s="326"/>
      <c r="BZ45" s="325"/>
      <c r="CA45" s="325"/>
      <c r="CB45" s="97"/>
      <c r="CC45" s="325"/>
      <c r="CD45" s="546"/>
      <c r="CE45" s="546"/>
      <c r="CF45" s="326"/>
      <c r="CG45" s="325"/>
      <c r="CH45" s="325"/>
      <c r="CI45" s="97"/>
      <c r="CJ45" s="325"/>
      <c r="CK45" s="546"/>
      <c r="CL45" s="546"/>
      <c r="CM45" s="326"/>
      <c r="CN45" s="325"/>
      <c r="CO45" s="325"/>
      <c r="CP45" s="97"/>
      <c r="CQ45" s="325"/>
      <c r="CR45" s="546"/>
      <c r="CS45" s="546"/>
      <c r="CT45" s="326"/>
      <c r="CU45" s="325"/>
      <c r="CV45" s="325"/>
      <c r="CW45" s="97"/>
      <c r="CX45" s="325"/>
      <c r="CY45" s="546"/>
      <c r="CZ45" s="546"/>
      <c r="DA45" s="326"/>
      <c r="DB45" s="325"/>
      <c r="DC45" s="325"/>
      <c r="DD45" s="97"/>
      <c r="DE45" s="325"/>
      <c r="DF45" s="546"/>
      <c r="DG45" s="546"/>
      <c r="DH45" s="326"/>
      <c r="DI45" s="325"/>
      <c r="DJ45" s="325"/>
      <c r="DK45" s="97"/>
      <c r="DL45" s="325"/>
      <c r="DM45" s="546"/>
      <c r="DN45" s="546"/>
    </row>
    <row r="46" spans="2:118" s="360" customFormat="1" ht="51">
      <c r="B46" s="535"/>
      <c r="C46" s="527"/>
      <c r="D46" s="264" t="s">
        <v>1358</v>
      </c>
      <c r="E46" s="432">
        <v>1E-3</v>
      </c>
      <c r="F46" s="438" t="s">
        <v>90</v>
      </c>
      <c r="G46" s="438" t="s">
        <v>228</v>
      </c>
      <c r="H46" s="438" t="s">
        <v>230</v>
      </c>
      <c r="I46" s="438" t="s">
        <v>231</v>
      </c>
      <c r="J46" s="385" t="s">
        <v>232</v>
      </c>
      <c r="K46" s="361">
        <v>44682</v>
      </c>
      <c r="L46" s="361">
        <v>46387</v>
      </c>
      <c r="M46" s="315" t="s">
        <v>78</v>
      </c>
      <c r="N46" s="315" t="s">
        <v>233</v>
      </c>
      <c r="O46" s="315" t="s">
        <v>234</v>
      </c>
      <c r="P46" s="315" t="s">
        <v>87</v>
      </c>
      <c r="Q46" s="23">
        <v>0</v>
      </c>
      <c r="R46" s="23">
        <v>2022</v>
      </c>
      <c r="S46" s="23">
        <v>2000</v>
      </c>
      <c r="T46" s="23">
        <v>4200</v>
      </c>
      <c r="U46" s="23">
        <v>6200</v>
      </c>
      <c r="V46" s="23">
        <v>6500</v>
      </c>
      <c r="W46" s="23">
        <v>6800</v>
      </c>
      <c r="X46" s="23"/>
      <c r="Y46" s="23"/>
      <c r="Z46" s="23"/>
      <c r="AA46" s="23"/>
      <c r="AB46" s="23">
        <v>6800</v>
      </c>
      <c r="AC46" s="328">
        <v>407</v>
      </c>
      <c r="AD46" s="328">
        <v>470</v>
      </c>
      <c r="AE46" s="328">
        <v>513</v>
      </c>
      <c r="AF46" s="328"/>
      <c r="AG46" s="328"/>
      <c r="AH46" s="328"/>
      <c r="AI46" s="328"/>
      <c r="AJ46" s="328"/>
      <c r="AK46" s="328"/>
      <c r="AL46" s="387">
        <f t="shared" si="8"/>
        <v>1390</v>
      </c>
      <c r="AM46" s="373">
        <v>407</v>
      </c>
      <c r="AN46" s="316" t="s">
        <v>189</v>
      </c>
      <c r="AO46" s="190"/>
      <c r="AP46" s="23"/>
      <c r="AQ46" s="373">
        <v>470</v>
      </c>
      <c r="AR46" s="316" t="s">
        <v>189</v>
      </c>
      <c r="AS46" s="190"/>
      <c r="AT46" s="23"/>
      <c r="AU46" s="373">
        <v>513</v>
      </c>
      <c r="AV46" s="316" t="s">
        <v>189</v>
      </c>
      <c r="AW46" s="190"/>
      <c r="AX46" s="23"/>
      <c r="AY46" s="373"/>
      <c r="AZ46" s="23" t="s">
        <v>88</v>
      </c>
      <c r="BA46" s="321"/>
      <c r="BB46" s="23"/>
      <c r="BC46" s="373"/>
      <c r="BD46" s="23" t="s">
        <v>88</v>
      </c>
      <c r="BE46" s="321"/>
      <c r="BF46" s="23"/>
      <c r="BG46" s="321"/>
      <c r="BH46" s="23"/>
      <c r="BI46" s="321"/>
      <c r="BJ46" s="23"/>
      <c r="BK46" s="321"/>
      <c r="BL46" s="23"/>
      <c r="BM46" s="321"/>
      <c r="BN46" s="23"/>
      <c r="BO46" s="321"/>
      <c r="BP46" s="23"/>
      <c r="BQ46" s="321"/>
      <c r="BR46" s="23"/>
      <c r="BS46" s="190"/>
      <c r="BT46" s="23"/>
      <c r="BU46" s="190"/>
      <c r="BV46" s="23"/>
      <c r="BW46" s="97">
        <f t="shared" si="7"/>
        <v>1390</v>
      </c>
      <c r="BX46" s="384"/>
      <c r="BY46" s="326"/>
      <c r="BZ46" s="325"/>
      <c r="CA46" s="325"/>
      <c r="CB46" s="97"/>
      <c r="CC46" s="325"/>
      <c r="CD46" s="546"/>
      <c r="CE46" s="546"/>
      <c r="CF46" s="326"/>
      <c r="CG46" s="325"/>
      <c r="CH46" s="325"/>
      <c r="CI46" s="97"/>
      <c r="CJ46" s="325"/>
      <c r="CK46" s="546"/>
      <c r="CL46" s="546"/>
      <c r="CM46" s="326"/>
      <c r="CN46" s="325"/>
      <c r="CO46" s="325"/>
      <c r="CP46" s="97"/>
      <c r="CQ46" s="325"/>
      <c r="CR46" s="546"/>
      <c r="CS46" s="546"/>
      <c r="CT46" s="326"/>
      <c r="CU46" s="325"/>
      <c r="CV46" s="325"/>
      <c r="CW46" s="97"/>
      <c r="CX46" s="325"/>
      <c r="CY46" s="546"/>
      <c r="CZ46" s="546"/>
      <c r="DA46" s="326"/>
      <c r="DB46" s="325"/>
      <c r="DC46" s="325"/>
      <c r="DD46" s="97"/>
      <c r="DE46" s="325"/>
      <c r="DF46" s="546"/>
      <c r="DG46" s="546"/>
      <c r="DH46" s="326"/>
      <c r="DI46" s="325"/>
      <c r="DJ46" s="325"/>
      <c r="DK46" s="97"/>
      <c r="DL46" s="325"/>
      <c r="DM46" s="546"/>
      <c r="DN46" s="546"/>
    </row>
    <row r="47" spans="2:118" s="360" customFormat="1" ht="63.75">
      <c r="B47" s="535"/>
      <c r="C47" s="527"/>
      <c r="D47" s="264" t="s">
        <v>1359</v>
      </c>
      <c r="E47" s="432">
        <v>0.01</v>
      </c>
      <c r="F47" s="438" t="s">
        <v>90</v>
      </c>
      <c r="G47" s="438" t="s">
        <v>228</v>
      </c>
      <c r="H47" s="438" t="s">
        <v>235</v>
      </c>
      <c r="I47" s="438" t="s">
        <v>1204</v>
      </c>
      <c r="J47" s="385" t="s">
        <v>236</v>
      </c>
      <c r="K47" s="361">
        <v>44927</v>
      </c>
      <c r="L47" s="192">
        <v>46022</v>
      </c>
      <c r="M47" s="315" t="s">
        <v>97</v>
      </c>
      <c r="N47" s="315" t="s">
        <v>237</v>
      </c>
      <c r="O47" s="315" t="s">
        <v>238</v>
      </c>
      <c r="P47" s="315" t="s">
        <v>87</v>
      </c>
      <c r="Q47" s="23">
        <v>0</v>
      </c>
      <c r="R47" s="200">
        <v>2023</v>
      </c>
      <c r="S47" s="23"/>
      <c r="T47" s="23">
        <v>500</v>
      </c>
      <c r="U47" s="23">
        <v>1100</v>
      </c>
      <c r="V47" s="23">
        <v>1800</v>
      </c>
      <c r="W47" s="23"/>
      <c r="X47" s="23"/>
      <c r="Y47" s="23"/>
      <c r="Z47" s="23"/>
      <c r="AA47" s="23"/>
      <c r="AB47" s="23">
        <v>1800</v>
      </c>
      <c r="AC47" s="328"/>
      <c r="AD47" s="328">
        <v>1101.057188</v>
      </c>
      <c r="AE47" s="328">
        <v>1321.2686249999999</v>
      </c>
      <c r="AF47" s="328">
        <v>1541.480063</v>
      </c>
      <c r="AG47" s="328"/>
      <c r="AH47" s="328"/>
      <c r="AI47" s="328"/>
      <c r="AJ47" s="328"/>
      <c r="AK47" s="328"/>
      <c r="AL47" s="387">
        <f t="shared" si="8"/>
        <v>3963.8058759999999</v>
      </c>
      <c r="AM47" s="190"/>
      <c r="AN47" s="23"/>
      <c r="AO47" s="190"/>
      <c r="AP47" s="23"/>
      <c r="AQ47" s="190">
        <f>+AD47</f>
        <v>1101.057188</v>
      </c>
      <c r="AR47" s="221" t="s">
        <v>114</v>
      </c>
      <c r="AS47" s="190"/>
      <c r="AT47" s="23"/>
      <c r="AU47" s="321">
        <f>+AE47</f>
        <v>1321.2686249999999</v>
      </c>
      <c r="AV47" s="221" t="s">
        <v>114</v>
      </c>
      <c r="AW47" s="321"/>
      <c r="AX47" s="23"/>
      <c r="AY47" s="321">
        <f>+AF47</f>
        <v>1541.480063</v>
      </c>
      <c r="AZ47" s="221" t="s">
        <v>114</v>
      </c>
      <c r="BA47" s="321"/>
      <c r="BB47" s="23"/>
      <c r="BC47" s="321"/>
      <c r="BD47" s="23"/>
      <c r="BE47" s="321"/>
      <c r="BF47" s="23"/>
      <c r="BG47" s="321"/>
      <c r="BH47" s="23"/>
      <c r="BI47" s="321"/>
      <c r="BJ47" s="23"/>
      <c r="BK47" s="321"/>
      <c r="BL47" s="23"/>
      <c r="BM47" s="321"/>
      <c r="BN47" s="23"/>
      <c r="BO47" s="321"/>
      <c r="BP47" s="23"/>
      <c r="BQ47" s="321"/>
      <c r="BR47" s="23"/>
      <c r="BS47" s="190"/>
      <c r="BT47" s="23"/>
      <c r="BU47" s="190"/>
      <c r="BV47" s="23"/>
      <c r="BW47" s="97">
        <f t="shared" si="7"/>
        <v>3963.8058759999999</v>
      </c>
      <c r="BX47" s="384"/>
      <c r="BY47" s="326"/>
      <c r="BZ47" s="325"/>
      <c r="CA47" s="325"/>
      <c r="CB47" s="97"/>
      <c r="CC47" s="325"/>
      <c r="CD47" s="546"/>
      <c r="CE47" s="546"/>
      <c r="CF47" s="326"/>
      <c r="CG47" s="325"/>
      <c r="CH47" s="325"/>
      <c r="CI47" s="97"/>
      <c r="CJ47" s="325"/>
      <c r="CK47" s="546"/>
      <c r="CL47" s="546"/>
      <c r="CM47" s="326"/>
      <c r="CN47" s="325"/>
      <c r="CO47" s="325"/>
      <c r="CP47" s="97"/>
      <c r="CQ47" s="325"/>
      <c r="CR47" s="546"/>
      <c r="CS47" s="546"/>
      <c r="CT47" s="326"/>
      <c r="CU47" s="325"/>
      <c r="CV47" s="325"/>
      <c r="CW47" s="97"/>
      <c r="CX47" s="325"/>
      <c r="CY47" s="546"/>
      <c r="CZ47" s="546"/>
      <c r="DA47" s="326"/>
      <c r="DB47" s="325"/>
      <c r="DC47" s="325"/>
      <c r="DD47" s="97"/>
      <c r="DE47" s="325"/>
      <c r="DF47" s="546"/>
      <c r="DG47" s="546"/>
      <c r="DH47" s="326"/>
      <c r="DI47" s="325"/>
      <c r="DJ47" s="325"/>
      <c r="DK47" s="97"/>
      <c r="DL47" s="325"/>
      <c r="DM47" s="546"/>
      <c r="DN47" s="546"/>
    </row>
    <row r="48" spans="2:118" s="360" customFormat="1" ht="38.25">
      <c r="B48" s="535"/>
      <c r="C48" s="527"/>
      <c r="D48" s="264" t="s">
        <v>1360</v>
      </c>
      <c r="E48" s="432">
        <v>1E-3</v>
      </c>
      <c r="F48" s="438" t="s">
        <v>90</v>
      </c>
      <c r="G48" s="438" t="s">
        <v>228</v>
      </c>
      <c r="H48" s="438" t="s">
        <v>239</v>
      </c>
      <c r="I48" s="438" t="s">
        <v>240</v>
      </c>
      <c r="J48" s="385" t="s">
        <v>241</v>
      </c>
      <c r="K48" s="361">
        <v>44682</v>
      </c>
      <c r="L48" s="156">
        <v>47848</v>
      </c>
      <c r="M48" s="315" t="s">
        <v>97</v>
      </c>
      <c r="N48" s="315" t="s">
        <v>242</v>
      </c>
      <c r="O48" s="315" t="s">
        <v>243</v>
      </c>
      <c r="P48" s="315" t="s">
        <v>87</v>
      </c>
      <c r="Q48" s="23">
        <v>0</v>
      </c>
      <c r="R48" s="200">
        <v>2022</v>
      </c>
      <c r="S48" s="23">
        <v>2000</v>
      </c>
      <c r="T48" s="23">
        <v>4100</v>
      </c>
      <c r="U48" s="23">
        <v>6300</v>
      </c>
      <c r="V48" s="23">
        <v>8600</v>
      </c>
      <c r="W48" s="23">
        <v>11000</v>
      </c>
      <c r="X48" s="23">
        <v>13500</v>
      </c>
      <c r="Y48" s="23">
        <v>16100</v>
      </c>
      <c r="Z48" s="23">
        <v>18800</v>
      </c>
      <c r="AA48" s="23">
        <v>21600</v>
      </c>
      <c r="AB48" s="23">
        <v>21600</v>
      </c>
      <c r="AC48" s="332"/>
      <c r="AD48" s="328"/>
      <c r="AE48" s="328"/>
      <c r="AF48" s="328"/>
      <c r="AG48" s="328"/>
      <c r="AH48" s="328"/>
      <c r="AI48" s="328"/>
      <c r="AJ48" s="328"/>
      <c r="AK48" s="328"/>
      <c r="AL48" s="387" t="str">
        <f t="shared" si="8"/>
        <v/>
      </c>
      <c r="AM48" s="190"/>
      <c r="AN48" s="23" t="s">
        <v>88</v>
      </c>
      <c r="AO48" s="190"/>
      <c r="AP48" s="23"/>
      <c r="AQ48" s="190"/>
      <c r="AR48" s="23" t="s">
        <v>88</v>
      </c>
      <c r="AS48" s="190"/>
      <c r="AT48" s="23"/>
      <c r="AU48" s="190"/>
      <c r="AV48" s="23" t="s">
        <v>88</v>
      </c>
      <c r="AW48" s="190"/>
      <c r="AX48" s="23"/>
      <c r="AY48" s="321"/>
      <c r="AZ48" s="23"/>
      <c r="BA48" s="321"/>
      <c r="BB48" s="23"/>
      <c r="BC48" s="321"/>
      <c r="BD48" s="23"/>
      <c r="BE48" s="321"/>
      <c r="BF48" s="23"/>
      <c r="BG48" s="321"/>
      <c r="BH48" s="23"/>
      <c r="BI48" s="321"/>
      <c r="BJ48" s="23"/>
      <c r="BK48" s="321"/>
      <c r="BL48" s="23"/>
      <c r="BM48" s="321"/>
      <c r="BN48" s="23"/>
      <c r="BO48" s="321"/>
      <c r="BP48" s="23"/>
      <c r="BQ48" s="321"/>
      <c r="BR48" s="23"/>
      <c r="BS48" s="190"/>
      <c r="BT48" s="23"/>
      <c r="BU48" s="190"/>
      <c r="BV48" s="23"/>
      <c r="BW48" s="97" t="str">
        <f t="shared" si="7"/>
        <v/>
      </c>
      <c r="BX48" s="384"/>
      <c r="BY48" s="326"/>
      <c r="BZ48" s="325"/>
      <c r="CA48" s="325"/>
      <c r="CB48" s="97"/>
      <c r="CC48" s="325"/>
      <c r="CD48" s="546"/>
      <c r="CE48" s="546"/>
      <c r="CF48" s="326"/>
      <c r="CG48" s="325"/>
      <c r="CH48" s="325"/>
      <c r="CI48" s="97"/>
      <c r="CJ48" s="325"/>
      <c r="CK48" s="546"/>
      <c r="CL48" s="546"/>
      <c r="CM48" s="326"/>
      <c r="CN48" s="325"/>
      <c r="CO48" s="325"/>
      <c r="CP48" s="97"/>
      <c r="CQ48" s="325"/>
      <c r="CR48" s="546"/>
      <c r="CS48" s="546"/>
      <c r="CT48" s="326"/>
      <c r="CU48" s="325"/>
      <c r="CV48" s="325"/>
      <c r="CW48" s="97"/>
      <c r="CX48" s="325"/>
      <c r="CY48" s="546"/>
      <c r="CZ48" s="546"/>
      <c r="DA48" s="326"/>
      <c r="DB48" s="325"/>
      <c r="DC48" s="325"/>
      <c r="DD48" s="97"/>
      <c r="DE48" s="325"/>
      <c r="DF48" s="546"/>
      <c r="DG48" s="546"/>
      <c r="DH48" s="326"/>
      <c r="DI48" s="325"/>
      <c r="DJ48" s="325"/>
      <c r="DK48" s="97"/>
      <c r="DL48" s="325"/>
      <c r="DM48" s="546"/>
      <c r="DN48" s="546"/>
    </row>
    <row r="49" spans="2:118" s="360" customFormat="1" ht="63.75">
      <c r="B49" s="535"/>
      <c r="C49" s="527"/>
      <c r="D49" s="366" t="s">
        <v>1361</v>
      </c>
      <c r="E49" s="432">
        <v>5.0000000000000001E-3</v>
      </c>
      <c r="F49" s="438" t="s">
        <v>90</v>
      </c>
      <c r="G49" s="438" t="s">
        <v>245</v>
      </c>
      <c r="H49" s="438" t="s">
        <v>246</v>
      </c>
      <c r="I49" s="438" t="s">
        <v>247</v>
      </c>
      <c r="J49" s="385" t="s">
        <v>248</v>
      </c>
      <c r="K49" s="361">
        <v>44775</v>
      </c>
      <c r="L49" s="361">
        <v>47847</v>
      </c>
      <c r="M49" s="315" t="s">
        <v>97</v>
      </c>
      <c r="N49" s="315" t="s">
        <v>249</v>
      </c>
      <c r="O49" s="315" t="s">
        <v>250</v>
      </c>
      <c r="P49" s="315" t="s">
        <v>87</v>
      </c>
      <c r="Q49" s="23">
        <v>0</v>
      </c>
      <c r="R49" s="200">
        <v>2021</v>
      </c>
      <c r="S49" s="23">
        <v>50</v>
      </c>
      <c r="T49" s="23">
        <v>105</v>
      </c>
      <c r="U49" s="23">
        <v>165</v>
      </c>
      <c r="V49" s="23">
        <v>230</v>
      </c>
      <c r="W49" s="23">
        <v>295</v>
      </c>
      <c r="X49" s="23">
        <v>365</v>
      </c>
      <c r="Y49" s="23">
        <v>435</v>
      </c>
      <c r="Z49" s="23">
        <v>510</v>
      </c>
      <c r="AA49" s="23">
        <v>585</v>
      </c>
      <c r="AB49" s="23">
        <v>585</v>
      </c>
      <c r="AC49" s="328">
        <v>2300</v>
      </c>
      <c r="AD49" s="328">
        <v>2530</v>
      </c>
      <c r="AE49" s="328">
        <v>2760</v>
      </c>
      <c r="AF49" s="328">
        <v>2990</v>
      </c>
      <c r="AG49" s="328">
        <v>2990</v>
      </c>
      <c r="AH49" s="328">
        <v>3220</v>
      </c>
      <c r="AI49" s="328">
        <v>3220</v>
      </c>
      <c r="AJ49" s="328">
        <v>3450</v>
      </c>
      <c r="AK49" s="328">
        <v>3450</v>
      </c>
      <c r="AL49" s="387">
        <f t="shared" si="8"/>
        <v>26910</v>
      </c>
      <c r="AM49" s="445">
        <f>+AC49</f>
        <v>2300</v>
      </c>
      <c r="AN49" s="97" t="s">
        <v>80</v>
      </c>
      <c r="AO49" s="97"/>
      <c r="AP49" s="97"/>
      <c r="AQ49" s="445">
        <f>+AD49</f>
        <v>2530</v>
      </c>
      <c r="AR49" s="97" t="s">
        <v>80</v>
      </c>
      <c r="AS49" s="97"/>
      <c r="AT49" s="97"/>
      <c r="AU49" s="445">
        <f>+AE49</f>
        <v>2760</v>
      </c>
      <c r="AV49" s="97" t="s">
        <v>80</v>
      </c>
      <c r="AW49" s="97"/>
      <c r="AX49" s="97"/>
      <c r="AY49" s="445">
        <f>+AF49</f>
        <v>2990</v>
      </c>
      <c r="AZ49" s="97" t="s">
        <v>80</v>
      </c>
      <c r="BA49" s="97"/>
      <c r="BB49" s="97"/>
      <c r="BC49" s="445">
        <f>+AG49</f>
        <v>2990</v>
      </c>
      <c r="BD49" s="97" t="s">
        <v>80</v>
      </c>
      <c r="BE49" s="97"/>
      <c r="BF49" s="97"/>
      <c r="BG49" s="445">
        <f>+AH49</f>
        <v>3220</v>
      </c>
      <c r="BH49" s="97" t="s">
        <v>80</v>
      </c>
      <c r="BI49" s="97"/>
      <c r="BJ49" s="97"/>
      <c r="BK49" s="445">
        <f>+BG49</f>
        <v>3220</v>
      </c>
      <c r="BL49" s="97" t="s">
        <v>80</v>
      </c>
      <c r="BM49" s="97"/>
      <c r="BN49" s="97"/>
      <c r="BO49" s="445">
        <f>+AJ49</f>
        <v>3450</v>
      </c>
      <c r="BP49" s="97" t="s">
        <v>80</v>
      </c>
      <c r="BQ49" s="97"/>
      <c r="BR49" s="97"/>
      <c r="BS49" s="445">
        <f>+BO49</f>
        <v>3450</v>
      </c>
      <c r="BT49" s="97" t="s">
        <v>80</v>
      </c>
      <c r="BU49" s="97"/>
      <c r="BV49" s="97"/>
      <c r="BW49" s="97">
        <f t="shared" si="7"/>
        <v>26910</v>
      </c>
      <c r="BX49" s="384"/>
      <c r="BY49" s="326"/>
      <c r="BZ49" s="325"/>
      <c r="CA49" s="325"/>
      <c r="CB49" s="97"/>
      <c r="CC49" s="325"/>
      <c r="CD49" s="546"/>
      <c r="CE49" s="546"/>
      <c r="CF49" s="326"/>
      <c r="CG49" s="325"/>
      <c r="CH49" s="325"/>
      <c r="CI49" s="97"/>
      <c r="CJ49" s="325"/>
      <c r="CK49" s="546"/>
      <c r="CL49" s="546"/>
      <c r="CM49" s="326"/>
      <c r="CN49" s="325"/>
      <c r="CO49" s="325"/>
      <c r="CP49" s="97"/>
      <c r="CQ49" s="325"/>
      <c r="CR49" s="546"/>
      <c r="CS49" s="546"/>
      <c r="CT49" s="326"/>
      <c r="CU49" s="325"/>
      <c r="CV49" s="325"/>
      <c r="CW49" s="97"/>
      <c r="CX49" s="325"/>
      <c r="CY49" s="546"/>
      <c r="CZ49" s="546"/>
      <c r="DA49" s="326"/>
      <c r="DB49" s="325"/>
      <c r="DC49" s="325"/>
      <c r="DD49" s="97"/>
      <c r="DE49" s="325"/>
      <c r="DF49" s="546"/>
      <c r="DG49" s="546"/>
      <c r="DH49" s="326"/>
      <c r="DI49" s="325"/>
      <c r="DJ49" s="325"/>
      <c r="DK49" s="97"/>
      <c r="DL49" s="325"/>
      <c r="DM49" s="546"/>
      <c r="DN49" s="546"/>
    </row>
    <row r="50" spans="2:118" s="360" customFormat="1" ht="25.5">
      <c r="B50" s="535"/>
      <c r="C50" s="527"/>
      <c r="D50" s="366" t="s">
        <v>1362</v>
      </c>
      <c r="E50" s="432">
        <v>5.0000000000000001E-3</v>
      </c>
      <c r="F50" s="438" t="s">
        <v>90</v>
      </c>
      <c r="G50" s="438" t="s">
        <v>110</v>
      </c>
      <c r="H50" s="438" t="s">
        <v>1205</v>
      </c>
      <c r="I50" s="438" t="s">
        <v>251</v>
      </c>
      <c r="J50" s="385" t="s">
        <v>252</v>
      </c>
      <c r="K50" s="361">
        <v>44743</v>
      </c>
      <c r="L50" s="361">
        <v>47818</v>
      </c>
      <c r="M50" s="315" t="s">
        <v>97</v>
      </c>
      <c r="N50" s="315" t="s">
        <v>994</v>
      </c>
      <c r="O50" s="315" t="s">
        <v>993</v>
      </c>
      <c r="P50" s="315" t="s">
        <v>87</v>
      </c>
      <c r="Q50" s="23">
        <v>0</v>
      </c>
      <c r="R50" s="200">
        <v>2021</v>
      </c>
      <c r="S50" s="348">
        <v>500</v>
      </c>
      <c r="T50" s="348">
        <v>1500</v>
      </c>
      <c r="U50" s="348">
        <v>2500</v>
      </c>
      <c r="V50" s="348">
        <v>3500</v>
      </c>
      <c r="W50" s="348">
        <v>4500</v>
      </c>
      <c r="X50" s="321">
        <v>5500</v>
      </c>
      <c r="Y50" s="321">
        <v>6500</v>
      </c>
      <c r="Z50" s="321">
        <v>7500</v>
      </c>
      <c r="AA50" s="321">
        <v>8500</v>
      </c>
      <c r="AB50" s="321">
        <v>8500</v>
      </c>
      <c r="AC50" s="328">
        <v>412</v>
      </c>
      <c r="AD50" s="328">
        <v>840.48</v>
      </c>
      <c r="AE50" s="328">
        <v>857.28960000000006</v>
      </c>
      <c r="AF50" s="328">
        <v>874.43539200000009</v>
      </c>
      <c r="AG50" s="328">
        <v>891.92409984000005</v>
      </c>
      <c r="AH50" s="328">
        <v>936.52030483200008</v>
      </c>
      <c r="AI50" s="328">
        <v>983.34632007360005</v>
      </c>
      <c r="AJ50" s="328">
        <v>1032.5136360772801</v>
      </c>
      <c r="AK50" s="328">
        <v>1053</v>
      </c>
      <c r="AL50" s="387">
        <f t="shared" si="8"/>
        <v>7881.5093528228799</v>
      </c>
      <c r="AM50" s="271">
        <v>412</v>
      </c>
      <c r="AN50" s="272" t="s">
        <v>114</v>
      </c>
      <c r="AO50" s="273"/>
      <c r="AP50" s="272"/>
      <c r="AQ50" s="446">
        <v>840.48</v>
      </c>
      <c r="AR50" s="272" t="s">
        <v>114</v>
      </c>
      <c r="AS50" s="273"/>
      <c r="AT50" s="272"/>
      <c r="AU50" s="446">
        <v>857.28960000000006</v>
      </c>
      <c r="AV50" s="272" t="s">
        <v>114</v>
      </c>
      <c r="AW50" s="273"/>
      <c r="AX50" s="272"/>
      <c r="AY50" s="446">
        <v>874.43539200000009</v>
      </c>
      <c r="AZ50" s="272" t="s">
        <v>114</v>
      </c>
      <c r="BA50" s="273"/>
      <c r="BB50" s="273"/>
      <c r="BC50" s="446">
        <v>891.92409984000005</v>
      </c>
      <c r="BD50" s="272" t="s">
        <v>114</v>
      </c>
      <c r="BE50" s="273"/>
      <c r="BF50" s="273"/>
      <c r="BG50" s="284">
        <v>936.52030483200008</v>
      </c>
      <c r="BH50" s="272" t="s">
        <v>114</v>
      </c>
      <c r="BI50" s="190"/>
      <c r="BJ50" s="190"/>
      <c r="BK50" s="284">
        <v>983.34632007360005</v>
      </c>
      <c r="BL50" s="272" t="s">
        <v>114</v>
      </c>
      <c r="BM50" s="190"/>
      <c r="BN50" s="190"/>
      <c r="BO50" s="284">
        <v>1032.5136360772801</v>
      </c>
      <c r="BP50" s="272" t="s">
        <v>114</v>
      </c>
      <c r="BQ50" s="190"/>
      <c r="BR50" s="190"/>
      <c r="BS50" s="284">
        <v>1053</v>
      </c>
      <c r="BT50" s="272" t="s">
        <v>114</v>
      </c>
      <c r="BU50" s="190"/>
      <c r="BV50" s="190"/>
      <c r="BW50" s="97">
        <f t="shared" si="7"/>
        <v>7881.5093528228799</v>
      </c>
      <c r="BX50" s="384"/>
      <c r="BY50" s="326"/>
      <c r="BZ50" s="325"/>
      <c r="CA50" s="325"/>
      <c r="CB50" s="97"/>
      <c r="CC50" s="325"/>
      <c r="CD50" s="546"/>
      <c r="CE50" s="546"/>
      <c r="CF50" s="326"/>
      <c r="CG50" s="325"/>
      <c r="CH50" s="325"/>
      <c r="CI50" s="97"/>
      <c r="CJ50" s="325"/>
      <c r="CK50" s="546"/>
      <c r="CL50" s="546"/>
      <c r="CM50" s="326"/>
      <c r="CN50" s="325"/>
      <c r="CO50" s="325"/>
      <c r="CP50" s="97"/>
      <c r="CQ50" s="325"/>
      <c r="CR50" s="546"/>
      <c r="CS50" s="546"/>
      <c r="CT50" s="326"/>
      <c r="CU50" s="325"/>
      <c r="CV50" s="325"/>
      <c r="CW50" s="97"/>
      <c r="CX50" s="325"/>
      <c r="CY50" s="546"/>
      <c r="CZ50" s="546"/>
      <c r="DA50" s="326"/>
      <c r="DB50" s="325"/>
      <c r="DC50" s="325"/>
      <c r="DD50" s="97"/>
      <c r="DE50" s="325"/>
      <c r="DF50" s="546"/>
      <c r="DG50" s="546"/>
      <c r="DH50" s="326"/>
      <c r="DI50" s="325"/>
      <c r="DJ50" s="325"/>
      <c r="DK50" s="97"/>
      <c r="DL50" s="325"/>
      <c r="DM50" s="546"/>
      <c r="DN50" s="546"/>
    </row>
    <row r="51" spans="2:118" s="360" customFormat="1" ht="127.5">
      <c r="B51" s="535"/>
      <c r="C51" s="527"/>
      <c r="D51" s="264" t="s">
        <v>1363</v>
      </c>
      <c r="E51" s="432">
        <v>2E-3</v>
      </c>
      <c r="F51" s="438" t="s">
        <v>90</v>
      </c>
      <c r="G51" s="438" t="s">
        <v>228</v>
      </c>
      <c r="H51" s="438" t="s">
        <v>229</v>
      </c>
      <c r="I51" s="438" t="s">
        <v>226</v>
      </c>
      <c r="J51" s="385" t="s">
        <v>227</v>
      </c>
      <c r="K51" s="361">
        <v>44714</v>
      </c>
      <c r="L51" s="156">
        <v>47848</v>
      </c>
      <c r="M51" s="371" t="s">
        <v>97</v>
      </c>
      <c r="N51" s="371" t="s">
        <v>995</v>
      </c>
      <c r="O51" s="371" t="s">
        <v>996</v>
      </c>
      <c r="P51" s="371" t="s">
        <v>87</v>
      </c>
      <c r="Q51" s="325">
        <v>0</v>
      </c>
      <c r="R51" s="280">
        <v>2021</v>
      </c>
      <c r="S51" s="325">
        <v>0.1111111111111111</v>
      </c>
      <c r="T51" s="325">
        <v>0.22222222222222221</v>
      </c>
      <c r="U51" s="325">
        <v>0.33333333333333331</v>
      </c>
      <c r="V51" s="325">
        <v>0.44444444444444442</v>
      </c>
      <c r="W51" s="325">
        <v>0.55555555555555558</v>
      </c>
      <c r="X51" s="325">
        <v>0.66666666666666674</v>
      </c>
      <c r="Y51" s="325">
        <v>0.7777777777777779</v>
      </c>
      <c r="Z51" s="325">
        <v>0.88888888888888906</v>
      </c>
      <c r="AA51" s="325">
        <v>1.0000000000000002</v>
      </c>
      <c r="AB51" s="325">
        <v>1.0000000000000002</v>
      </c>
      <c r="AC51" s="328">
        <v>17000</v>
      </c>
      <c r="AD51" s="328">
        <v>26000</v>
      </c>
      <c r="AE51" s="328">
        <f>+AD51*2.5</f>
        <v>65000</v>
      </c>
      <c r="AF51" s="328">
        <v>70000</v>
      </c>
      <c r="AG51" s="328">
        <v>80000</v>
      </c>
      <c r="AH51" s="328">
        <v>90000</v>
      </c>
      <c r="AI51" s="328">
        <v>100000</v>
      </c>
      <c r="AJ51" s="328">
        <v>110000</v>
      </c>
      <c r="AK51" s="328">
        <v>120000</v>
      </c>
      <c r="AL51" s="387">
        <f t="shared" si="8"/>
        <v>678000</v>
      </c>
      <c r="AM51" s="214">
        <v>17000</v>
      </c>
      <c r="AN51" s="272" t="s">
        <v>114</v>
      </c>
      <c r="AO51" s="455"/>
      <c r="AP51" s="365"/>
      <c r="AQ51" s="214">
        <v>26000</v>
      </c>
      <c r="AR51" s="272" t="s">
        <v>114</v>
      </c>
      <c r="AS51" s="455"/>
      <c r="AT51" s="365"/>
      <c r="AU51" s="214">
        <v>65000</v>
      </c>
      <c r="AV51" s="272" t="s">
        <v>114</v>
      </c>
      <c r="AW51" s="455"/>
      <c r="AX51" s="365"/>
      <c r="AY51" s="214">
        <v>70000</v>
      </c>
      <c r="AZ51" s="272" t="s">
        <v>114</v>
      </c>
      <c r="BA51" s="455"/>
      <c r="BB51" s="365"/>
      <c r="BC51" s="214">
        <v>80000</v>
      </c>
      <c r="BD51" s="272" t="s">
        <v>114</v>
      </c>
      <c r="BE51" s="455"/>
      <c r="BF51" s="365"/>
      <c r="BG51" s="214">
        <v>90000</v>
      </c>
      <c r="BH51" s="272" t="s">
        <v>114</v>
      </c>
      <c r="BI51" s="455"/>
      <c r="BJ51" s="365"/>
      <c r="BK51" s="214">
        <v>100000</v>
      </c>
      <c r="BL51" s="272" t="s">
        <v>114</v>
      </c>
      <c r="BM51" s="455"/>
      <c r="BN51" s="365"/>
      <c r="BO51" s="214">
        <v>110000</v>
      </c>
      <c r="BP51" s="272" t="s">
        <v>114</v>
      </c>
      <c r="BQ51" s="455"/>
      <c r="BR51" s="365"/>
      <c r="BS51" s="214">
        <v>120000</v>
      </c>
      <c r="BT51" s="272" t="s">
        <v>114</v>
      </c>
      <c r="BU51" s="455"/>
      <c r="BV51" s="365"/>
      <c r="BW51" s="97">
        <f t="shared" si="7"/>
        <v>678000</v>
      </c>
      <c r="BX51" s="384"/>
      <c r="BY51" s="326"/>
      <c r="BZ51" s="325"/>
      <c r="CA51" s="325"/>
      <c r="CB51" s="97"/>
      <c r="CC51" s="325"/>
      <c r="CD51" s="546"/>
      <c r="CE51" s="546"/>
      <c r="CF51" s="326"/>
      <c r="CG51" s="325"/>
      <c r="CH51" s="325"/>
      <c r="CI51" s="97"/>
      <c r="CJ51" s="325"/>
      <c r="CK51" s="546"/>
      <c r="CL51" s="546"/>
      <c r="CM51" s="326"/>
      <c r="CN51" s="325"/>
      <c r="CO51" s="325"/>
      <c r="CP51" s="97"/>
      <c r="CQ51" s="325"/>
      <c r="CR51" s="546"/>
      <c r="CS51" s="546"/>
      <c r="CT51" s="326"/>
      <c r="CU51" s="325"/>
      <c r="CV51" s="325"/>
      <c r="CW51" s="97"/>
      <c r="CX51" s="325"/>
      <c r="CY51" s="546"/>
      <c r="CZ51" s="546"/>
      <c r="DA51" s="326"/>
      <c r="DB51" s="325"/>
      <c r="DC51" s="325"/>
      <c r="DD51" s="97"/>
      <c r="DE51" s="325"/>
      <c r="DF51" s="546"/>
      <c r="DG51" s="546"/>
      <c r="DH51" s="326"/>
      <c r="DI51" s="325"/>
      <c r="DJ51" s="325"/>
      <c r="DK51" s="97"/>
      <c r="DL51" s="325"/>
      <c r="DM51" s="546"/>
      <c r="DN51" s="546"/>
    </row>
    <row r="52" spans="2:118" s="360" customFormat="1" ht="114.75">
      <c r="B52" s="535"/>
      <c r="C52" s="527"/>
      <c r="D52" s="264" t="s">
        <v>1364</v>
      </c>
      <c r="E52" s="432">
        <v>2E-3</v>
      </c>
      <c r="F52" s="438" t="s">
        <v>90</v>
      </c>
      <c r="G52" s="438" t="s">
        <v>228</v>
      </c>
      <c r="H52" s="438" t="s">
        <v>229</v>
      </c>
      <c r="I52" s="438" t="s">
        <v>226</v>
      </c>
      <c r="J52" s="385" t="s">
        <v>227</v>
      </c>
      <c r="K52" s="361">
        <v>44714</v>
      </c>
      <c r="L52" s="156">
        <v>47848</v>
      </c>
      <c r="M52" s="371" t="s">
        <v>97</v>
      </c>
      <c r="N52" s="371" t="s">
        <v>997</v>
      </c>
      <c r="O52" s="371" t="s">
        <v>998</v>
      </c>
      <c r="P52" s="371" t="s">
        <v>87</v>
      </c>
      <c r="Q52" s="325">
        <v>0</v>
      </c>
      <c r="R52" s="280">
        <v>2021</v>
      </c>
      <c r="S52" s="325">
        <v>0.1111111111111111</v>
      </c>
      <c r="T52" s="325">
        <v>0.22222222222222221</v>
      </c>
      <c r="U52" s="325">
        <v>0.33333333333333331</v>
      </c>
      <c r="V52" s="325">
        <v>0.44444444444444442</v>
      </c>
      <c r="W52" s="325">
        <v>0.55555555555555558</v>
      </c>
      <c r="X52" s="325">
        <v>0.66666666666666674</v>
      </c>
      <c r="Y52" s="325">
        <v>0.7777777777777779</v>
      </c>
      <c r="Z52" s="325">
        <v>0.88888888888888906</v>
      </c>
      <c r="AA52" s="325">
        <v>1.0000000000000002</v>
      </c>
      <c r="AB52" s="325">
        <v>1.0000000000000002</v>
      </c>
      <c r="AC52" s="328">
        <v>6300</v>
      </c>
      <c r="AD52" s="328">
        <v>26000</v>
      </c>
      <c r="AE52" s="328">
        <v>30000</v>
      </c>
      <c r="AF52" s="328">
        <v>35000</v>
      </c>
      <c r="AG52" s="328">
        <v>45000</v>
      </c>
      <c r="AH52" s="328">
        <v>50000</v>
      </c>
      <c r="AI52" s="328">
        <v>55000</v>
      </c>
      <c r="AJ52" s="328">
        <v>60000</v>
      </c>
      <c r="AK52" s="328">
        <v>65000</v>
      </c>
      <c r="AL52" s="387">
        <f t="shared" si="8"/>
        <v>372300</v>
      </c>
      <c r="AM52" s="214">
        <v>6300</v>
      </c>
      <c r="AN52" s="272" t="s">
        <v>114</v>
      </c>
      <c r="AO52" s="455"/>
      <c r="AP52" s="365"/>
      <c r="AQ52" s="214">
        <v>26000</v>
      </c>
      <c r="AR52" s="272" t="s">
        <v>114</v>
      </c>
      <c r="AS52" s="455"/>
      <c r="AT52" s="365"/>
      <c r="AU52" s="214">
        <v>30000</v>
      </c>
      <c r="AV52" s="272" t="s">
        <v>114</v>
      </c>
      <c r="AW52" s="455"/>
      <c r="AX52" s="365"/>
      <c r="AY52" s="214">
        <v>35000</v>
      </c>
      <c r="AZ52" s="272" t="s">
        <v>114</v>
      </c>
      <c r="BA52" s="455"/>
      <c r="BB52" s="365"/>
      <c r="BC52" s="214">
        <v>45000</v>
      </c>
      <c r="BD52" s="272" t="s">
        <v>114</v>
      </c>
      <c r="BE52" s="455"/>
      <c r="BF52" s="365"/>
      <c r="BG52" s="214">
        <v>50000</v>
      </c>
      <c r="BH52" s="272" t="s">
        <v>114</v>
      </c>
      <c r="BI52" s="455"/>
      <c r="BJ52" s="365"/>
      <c r="BK52" s="214">
        <v>55000</v>
      </c>
      <c r="BL52" s="272" t="s">
        <v>114</v>
      </c>
      <c r="BM52" s="455"/>
      <c r="BN52" s="365"/>
      <c r="BO52" s="214">
        <v>60000</v>
      </c>
      <c r="BP52" s="272" t="s">
        <v>114</v>
      </c>
      <c r="BQ52" s="455"/>
      <c r="BR52" s="365"/>
      <c r="BS52" s="214">
        <v>65000</v>
      </c>
      <c r="BT52" s="272" t="s">
        <v>114</v>
      </c>
      <c r="BU52" s="455"/>
      <c r="BV52" s="365"/>
      <c r="BW52" s="97">
        <f t="shared" si="7"/>
        <v>372300</v>
      </c>
      <c r="BX52" s="384"/>
      <c r="BY52" s="326"/>
      <c r="BZ52" s="325"/>
      <c r="CA52" s="325"/>
      <c r="CB52" s="97"/>
      <c r="CC52" s="325"/>
      <c r="CD52" s="546"/>
      <c r="CE52" s="546"/>
      <c r="CF52" s="326"/>
      <c r="CG52" s="325"/>
      <c r="CH52" s="325"/>
      <c r="CI52" s="97"/>
      <c r="CJ52" s="325"/>
      <c r="CK52" s="546"/>
      <c r="CL52" s="546"/>
      <c r="CM52" s="326"/>
      <c r="CN52" s="325"/>
      <c r="CO52" s="325"/>
      <c r="CP52" s="97"/>
      <c r="CQ52" s="325"/>
      <c r="CR52" s="546"/>
      <c r="CS52" s="546"/>
      <c r="CT52" s="326"/>
      <c r="CU52" s="325"/>
      <c r="CV52" s="325"/>
      <c r="CW52" s="97"/>
      <c r="CX52" s="325"/>
      <c r="CY52" s="546"/>
      <c r="CZ52" s="546"/>
      <c r="DA52" s="326"/>
      <c r="DB52" s="325"/>
      <c r="DC52" s="325"/>
      <c r="DD52" s="97"/>
      <c r="DE52" s="325"/>
      <c r="DF52" s="546"/>
      <c r="DG52" s="546"/>
      <c r="DH52" s="326"/>
      <c r="DI52" s="325"/>
      <c r="DJ52" s="325"/>
      <c r="DK52" s="97"/>
      <c r="DL52" s="325"/>
      <c r="DM52" s="546"/>
      <c r="DN52" s="546"/>
    </row>
    <row r="53" spans="2:118" s="360" customFormat="1" ht="141.75" customHeight="1">
      <c r="B53" s="535"/>
      <c r="C53" s="527"/>
      <c r="D53" s="264" t="s">
        <v>1365</v>
      </c>
      <c r="E53" s="432">
        <v>1E-3</v>
      </c>
      <c r="F53" s="438" t="s">
        <v>90</v>
      </c>
      <c r="G53" s="438" t="s">
        <v>228</v>
      </c>
      <c r="H53" s="438" t="s">
        <v>229</v>
      </c>
      <c r="I53" s="438" t="s">
        <v>226</v>
      </c>
      <c r="J53" s="385" t="s">
        <v>227</v>
      </c>
      <c r="K53" s="361">
        <v>44714</v>
      </c>
      <c r="L53" s="156">
        <v>47848</v>
      </c>
      <c r="M53" s="371" t="s">
        <v>97</v>
      </c>
      <c r="N53" s="371" t="s">
        <v>253</v>
      </c>
      <c r="O53" s="371" t="s">
        <v>1206</v>
      </c>
      <c r="P53" s="371" t="s">
        <v>87</v>
      </c>
      <c r="Q53" s="325">
        <v>0</v>
      </c>
      <c r="R53" s="280">
        <v>2022</v>
      </c>
      <c r="S53" s="372">
        <f>100%/9</f>
        <v>0.1111111111111111</v>
      </c>
      <c r="T53" s="372">
        <f t="shared" ref="T53" si="24">+S53+100%/9</f>
        <v>0.22222222222222221</v>
      </c>
      <c r="U53" s="372">
        <f t="shared" ref="U53" si="25">+T53+100%/9</f>
        <v>0.33333333333333331</v>
      </c>
      <c r="V53" s="372">
        <f t="shared" ref="V53" si="26">+U53+100%/9</f>
        <v>0.44444444444444442</v>
      </c>
      <c r="W53" s="372">
        <f t="shared" ref="W53" si="27">+V53+100%/9</f>
        <v>0.55555555555555558</v>
      </c>
      <c r="X53" s="372">
        <f t="shared" ref="X53" si="28">+W53+100%/9</f>
        <v>0.66666666666666674</v>
      </c>
      <c r="Y53" s="372">
        <f t="shared" ref="Y53" si="29">+X53+100%/9</f>
        <v>0.7777777777777779</v>
      </c>
      <c r="Z53" s="372">
        <f t="shared" ref="Z53" si="30">+Y53+100%/9</f>
        <v>0.88888888888888906</v>
      </c>
      <c r="AA53" s="372">
        <f t="shared" ref="AA53" si="31">+Z53+100%/9</f>
        <v>1.0000000000000002</v>
      </c>
      <c r="AB53" s="325">
        <v>1</v>
      </c>
      <c r="AC53" s="328">
        <v>3000</v>
      </c>
      <c r="AD53" s="328">
        <v>3000</v>
      </c>
      <c r="AE53" s="328">
        <f>+AD53*2.5</f>
        <v>7500</v>
      </c>
      <c r="AF53" s="328">
        <v>10000</v>
      </c>
      <c r="AG53" s="328">
        <v>15000</v>
      </c>
      <c r="AH53" s="328">
        <v>20000</v>
      </c>
      <c r="AI53" s="328">
        <v>25000</v>
      </c>
      <c r="AJ53" s="328">
        <v>30000</v>
      </c>
      <c r="AK53" s="328">
        <v>35000</v>
      </c>
      <c r="AL53" s="387">
        <f t="shared" si="8"/>
        <v>148500</v>
      </c>
      <c r="AM53" s="190">
        <f t="shared" ref="AM53" si="32">+AC53</f>
        <v>3000</v>
      </c>
      <c r="AN53" s="221" t="s">
        <v>114</v>
      </c>
      <c r="AO53" s="190"/>
      <c r="AP53" s="23"/>
      <c r="AQ53" s="190">
        <f t="shared" ref="AQ53" si="33">+AD53</f>
        <v>3000</v>
      </c>
      <c r="AR53" s="221" t="s">
        <v>114</v>
      </c>
      <c r="AS53" s="190"/>
      <c r="AT53" s="23"/>
      <c r="AU53" s="321">
        <f>+AE53</f>
        <v>7500</v>
      </c>
      <c r="AV53" s="221" t="s">
        <v>114</v>
      </c>
      <c r="AW53" s="321"/>
      <c r="AX53" s="23"/>
      <c r="AY53" s="321">
        <f t="shared" ref="AY53" si="34">+AF53</f>
        <v>10000</v>
      </c>
      <c r="AZ53" s="221" t="s">
        <v>114</v>
      </c>
      <c r="BA53" s="321"/>
      <c r="BB53" s="23"/>
      <c r="BC53" s="321">
        <f t="shared" ref="BC53" si="35">+AG53</f>
        <v>15000</v>
      </c>
      <c r="BD53" s="221" t="s">
        <v>114</v>
      </c>
      <c r="BE53" s="321"/>
      <c r="BF53" s="23"/>
      <c r="BG53" s="321">
        <f t="shared" ref="BG53" si="36">+AH53</f>
        <v>20000</v>
      </c>
      <c r="BH53" s="221" t="s">
        <v>114</v>
      </c>
      <c r="BI53" s="321"/>
      <c r="BJ53" s="23"/>
      <c r="BK53" s="321">
        <f t="shared" ref="BK53" si="37">+AI53</f>
        <v>25000</v>
      </c>
      <c r="BL53" s="221" t="s">
        <v>114</v>
      </c>
      <c r="BM53" s="321"/>
      <c r="BN53" s="23"/>
      <c r="BO53" s="321">
        <f t="shared" ref="BO53" si="38">+AJ53</f>
        <v>30000</v>
      </c>
      <c r="BP53" s="221" t="s">
        <v>114</v>
      </c>
      <c r="BQ53" s="321"/>
      <c r="BR53" s="23"/>
      <c r="BS53" s="190">
        <f t="shared" ref="BS53" si="39">+AK53</f>
        <v>35000</v>
      </c>
      <c r="BT53" s="221" t="s">
        <v>114</v>
      </c>
      <c r="BU53" s="190"/>
      <c r="BV53" s="23"/>
      <c r="BW53" s="97">
        <f t="shared" si="7"/>
        <v>148500</v>
      </c>
      <c r="BX53" s="384"/>
      <c r="BY53" s="326"/>
      <c r="BZ53" s="325"/>
      <c r="CA53" s="325"/>
      <c r="CB53" s="97"/>
      <c r="CC53" s="325"/>
      <c r="CD53" s="546"/>
      <c r="CE53" s="546"/>
      <c r="CF53" s="326"/>
      <c r="CG53" s="325"/>
      <c r="CH53" s="325"/>
      <c r="CI53" s="97"/>
      <c r="CJ53" s="325"/>
      <c r="CK53" s="546"/>
      <c r="CL53" s="546"/>
      <c r="CM53" s="326"/>
      <c r="CN53" s="325"/>
      <c r="CO53" s="325"/>
      <c r="CP53" s="97"/>
      <c r="CQ53" s="325"/>
      <c r="CR53" s="546"/>
      <c r="CS53" s="546"/>
      <c r="CT53" s="326"/>
      <c r="CU53" s="325"/>
      <c r="CV53" s="325"/>
      <c r="CW53" s="97"/>
      <c r="CX53" s="325"/>
      <c r="CY53" s="546"/>
      <c r="CZ53" s="546"/>
      <c r="DA53" s="326"/>
      <c r="DB53" s="325"/>
      <c r="DC53" s="325"/>
      <c r="DD53" s="97"/>
      <c r="DE53" s="325"/>
      <c r="DF53" s="546"/>
      <c r="DG53" s="546"/>
      <c r="DH53" s="326"/>
      <c r="DI53" s="325"/>
      <c r="DJ53" s="325"/>
      <c r="DK53" s="97"/>
      <c r="DL53" s="325"/>
      <c r="DM53" s="546"/>
      <c r="DN53" s="546"/>
    </row>
    <row r="54" spans="2:118" s="360" customFormat="1" ht="38.25">
      <c r="B54" s="535"/>
      <c r="C54" s="527"/>
      <c r="D54" s="264" t="s">
        <v>1366</v>
      </c>
      <c r="E54" s="432">
        <v>1E-3</v>
      </c>
      <c r="F54" s="438" t="s">
        <v>90</v>
      </c>
      <c r="G54" s="438" t="s">
        <v>254</v>
      </c>
      <c r="H54" s="374" t="s">
        <v>255</v>
      </c>
      <c r="I54" s="374" t="s">
        <v>256</v>
      </c>
      <c r="J54" s="385" t="s">
        <v>257</v>
      </c>
      <c r="K54" s="361">
        <v>44927</v>
      </c>
      <c r="L54" s="192">
        <v>46022</v>
      </c>
      <c r="M54" s="315" t="s">
        <v>78</v>
      </c>
      <c r="N54" s="315" t="s">
        <v>258</v>
      </c>
      <c r="O54" s="315" t="s">
        <v>259</v>
      </c>
      <c r="P54" s="315" t="s">
        <v>87</v>
      </c>
      <c r="Q54" s="23">
        <v>0</v>
      </c>
      <c r="R54" s="200">
        <v>2022</v>
      </c>
      <c r="S54" s="23"/>
      <c r="T54" s="23">
        <v>15</v>
      </c>
      <c r="U54" s="23">
        <v>20</v>
      </c>
      <c r="V54" s="23">
        <v>25</v>
      </c>
      <c r="W54" s="23"/>
      <c r="X54" s="23"/>
      <c r="Y54" s="23"/>
      <c r="Z54" s="23"/>
      <c r="AA54" s="23"/>
      <c r="AB54" s="23">
        <v>25</v>
      </c>
      <c r="AC54" s="328"/>
      <c r="AD54" s="328"/>
      <c r="AE54" s="328"/>
      <c r="AF54" s="328"/>
      <c r="AG54" s="328"/>
      <c r="AH54" s="328"/>
      <c r="AI54" s="328"/>
      <c r="AJ54" s="328"/>
      <c r="AK54" s="328"/>
      <c r="AL54" s="387" t="str">
        <f t="shared" si="8"/>
        <v/>
      </c>
      <c r="AM54" s="190"/>
      <c r="AN54" s="23"/>
      <c r="AO54" s="190"/>
      <c r="AP54" s="23"/>
      <c r="AQ54" s="190"/>
      <c r="AR54" s="23" t="s">
        <v>88</v>
      </c>
      <c r="AS54" s="190"/>
      <c r="AT54" s="23"/>
      <c r="AU54" s="190"/>
      <c r="AV54" s="23" t="s">
        <v>88</v>
      </c>
      <c r="AW54" s="190"/>
      <c r="AX54" s="23"/>
      <c r="AY54" s="321"/>
      <c r="AZ54" s="23" t="s">
        <v>88</v>
      </c>
      <c r="BA54" s="321"/>
      <c r="BB54" s="23"/>
      <c r="BC54" s="321"/>
      <c r="BD54" s="23"/>
      <c r="BE54" s="321"/>
      <c r="BF54" s="23"/>
      <c r="BG54" s="321"/>
      <c r="BH54" s="23"/>
      <c r="BI54" s="321"/>
      <c r="BJ54" s="23"/>
      <c r="BK54" s="321"/>
      <c r="BL54" s="23"/>
      <c r="BM54" s="321"/>
      <c r="BN54" s="23"/>
      <c r="BO54" s="321"/>
      <c r="BP54" s="23"/>
      <c r="BQ54" s="321"/>
      <c r="BR54" s="23"/>
      <c r="BS54" s="190"/>
      <c r="BT54" s="23"/>
      <c r="BU54" s="190"/>
      <c r="BV54" s="23"/>
      <c r="BW54" s="97" t="str">
        <f t="shared" si="7"/>
        <v/>
      </c>
      <c r="BX54" s="384"/>
      <c r="BY54" s="326"/>
      <c r="BZ54" s="325"/>
      <c r="CA54" s="325"/>
      <c r="CB54" s="97"/>
      <c r="CC54" s="325"/>
      <c r="CD54" s="546"/>
      <c r="CE54" s="546"/>
      <c r="CF54" s="326"/>
      <c r="CG54" s="325"/>
      <c r="CH54" s="325"/>
      <c r="CI54" s="97"/>
      <c r="CJ54" s="325"/>
      <c r="CK54" s="546"/>
      <c r="CL54" s="546"/>
      <c r="CM54" s="326"/>
      <c r="CN54" s="325"/>
      <c r="CO54" s="325"/>
      <c r="CP54" s="97"/>
      <c r="CQ54" s="325"/>
      <c r="CR54" s="546"/>
      <c r="CS54" s="546"/>
      <c r="CT54" s="326"/>
      <c r="CU54" s="325"/>
      <c r="CV54" s="325"/>
      <c r="CW54" s="97"/>
      <c r="CX54" s="325"/>
      <c r="CY54" s="546"/>
      <c r="CZ54" s="546"/>
      <c r="DA54" s="326"/>
      <c r="DB54" s="325"/>
      <c r="DC54" s="325"/>
      <c r="DD54" s="97"/>
      <c r="DE54" s="325"/>
      <c r="DF54" s="546"/>
      <c r="DG54" s="546"/>
      <c r="DH54" s="326"/>
      <c r="DI54" s="325"/>
      <c r="DJ54" s="325"/>
      <c r="DK54" s="97"/>
      <c r="DL54" s="325"/>
      <c r="DM54" s="546"/>
      <c r="DN54" s="546"/>
    </row>
    <row r="55" spans="2:118" s="360" customFormat="1" ht="25.5">
      <c r="B55" s="535"/>
      <c r="C55" s="527"/>
      <c r="D55" s="264" t="s">
        <v>1367</v>
      </c>
      <c r="E55" s="432">
        <v>1E-3</v>
      </c>
      <c r="F55" s="438" t="s">
        <v>90</v>
      </c>
      <c r="G55" s="438" t="s">
        <v>228</v>
      </c>
      <c r="H55" s="438" t="s">
        <v>260</v>
      </c>
      <c r="I55" s="438" t="s">
        <v>261</v>
      </c>
      <c r="J55" s="385" t="s">
        <v>262</v>
      </c>
      <c r="K55" s="361">
        <v>45292</v>
      </c>
      <c r="L55" s="361">
        <v>46371</v>
      </c>
      <c r="M55" s="315" t="s">
        <v>97</v>
      </c>
      <c r="N55" s="315" t="s">
        <v>263</v>
      </c>
      <c r="O55" s="315" t="s">
        <v>999</v>
      </c>
      <c r="P55" s="315" t="s">
        <v>125</v>
      </c>
      <c r="Q55" s="23">
        <v>0</v>
      </c>
      <c r="R55" s="200">
        <v>2021</v>
      </c>
      <c r="S55" s="23"/>
      <c r="T55" s="23"/>
      <c r="U55" s="23">
        <v>1</v>
      </c>
      <c r="V55" s="23">
        <v>1</v>
      </c>
      <c r="W55" s="23">
        <v>1</v>
      </c>
      <c r="X55" s="23"/>
      <c r="Y55" s="23"/>
      <c r="Z55" s="23"/>
      <c r="AA55" s="23"/>
      <c r="AB55" s="23">
        <v>1</v>
      </c>
      <c r="AC55" s="328"/>
      <c r="AD55" s="328"/>
      <c r="AE55" s="328">
        <v>10</v>
      </c>
      <c r="AF55" s="328">
        <v>10</v>
      </c>
      <c r="AG55" s="328">
        <v>10</v>
      </c>
      <c r="AH55" s="328"/>
      <c r="AI55" s="328"/>
      <c r="AJ55" s="328"/>
      <c r="AK55" s="328"/>
      <c r="AL55" s="387">
        <f t="shared" si="8"/>
        <v>30</v>
      </c>
      <c r="AM55" s="190"/>
      <c r="AN55" s="221"/>
      <c r="AO55" s="190"/>
      <c r="AP55" s="23"/>
      <c r="AQ55" s="190"/>
      <c r="AR55" s="221"/>
      <c r="AS55" s="190"/>
      <c r="AT55" s="23"/>
      <c r="AU55" s="321">
        <v>10</v>
      </c>
      <c r="AV55" s="221" t="s">
        <v>126</v>
      </c>
      <c r="AW55" s="321"/>
      <c r="AX55" s="23"/>
      <c r="AY55" s="190">
        <v>10</v>
      </c>
      <c r="AZ55" s="221" t="s">
        <v>126</v>
      </c>
      <c r="BA55" s="321"/>
      <c r="BB55" s="23"/>
      <c r="BC55" s="190">
        <v>10</v>
      </c>
      <c r="BD55" s="221" t="s">
        <v>126</v>
      </c>
      <c r="BE55" s="321"/>
      <c r="BF55" s="23"/>
      <c r="BG55" s="321"/>
      <c r="BH55" s="23"/>
      <c r="BI55" s="321"/>
      <c r="BJ55" s="23"/>
      <c r="BK55" s="321"/>
      <c r="BL55" s="23"/>
      <c r="BM55" s="321"/>
      <c r="BN55" s="23"/>
      <c r="BO55" s="321"/>
      <c r="BP55" s="23"/>
      <c r="BQ55" s="321"/>
      <c r="BR55" s="23"/>
      <c r="BS55" s="190"/>
      <c r="BT55" s="23"/>
      <c r="BU55" s="190"/>
      <c r="BV55" s="23"/>
      <c r="BW55" s="97">
        <f t="shared" si="7"/>
        <v>30</v>
      </c>
      <c r="BX55" s="384"/>
      <c r="BY55" s="326"/>
      <c r="BZ55" s="325"/>
      <c r="CA55" s="325"/>
      <c r="CB55" s="97"/>
      <c r="CC55" s="325"/>
      <c r="CD55" s="546"/>
      <c r="CE55" s="546"/>
      <c r="CF55" s="326"/>
      <c r="CG55" s="325"/>
      <c r="CH55" s="325"/>
      <c r="CI55" s="97"/>
      <c r="CJ55" s="325"/>
      <c r="CK55" s="546"/>
      <c r="CL55" s="546"/>
      <c r="CM55" s="326"/>
      <c r="CN55" s="325"/>
      <c r="CO55" s="325"/>
      <c r="CP55" s="97"/>
      <c r="CQ55" s="325"/>
      <c r="CR55" s="546"/>
      <c r="CS55" s="546"/>
      <c r="CT55" s="326"/>
      <c r="CU55" s="325"/>
      <c r="CV55" s="325"/>
      <c r="CW55" s="97"/>
      <c r="CX55" s="325"/>
      <c r="CY55" s="546"/>
      <c r="CZ55" s="546"/>
      <c r="DA55" s="326"/>
      <c r="DB55" s="325"/>
      <c r="DC55" s="325"/>
      <c r="DD55" s="97"/>
      <c r="DE55" s="325"/>
      <c r="DF55" s="546"/>
      <c r="DG55" s="546"/>
      <c r="DH55" s="326"/>
      <c r="DI55" s="325"/>
      <c r="DJ55" s="325"/>
      <c r="DK55" s="97"/>
      <c r="DL55" s="325"/>
      <c r="DM55" s="546"/>
      <c r="DN55" s="546"/>
    </row>
    <row r="56" spans="2:118" s="360" customFormat="1" ht="114.75">
      <c r="B56" s="535"/>
      <c r="C56" s="527"/>
      <c r="D56" s="264" t="s">
        <v>1368</v>
      </c>
      <c r="E56" s="432">
        <v>1E-3</v>
      </c>
      <c r="F56" s="438" t="s">
        <v>90</v>
      </c>
      <c r="G56" s="438" t="s">
        <v>264</v>
      </c>
      <c r="H56" s="438" t="s">
        <v>265</v>
      </c>
      <c r="I56" s="438" t="s">
        <v>266</v>
      </c>
      <c r="J56" s="385" t="s">
        <v>267</v>
      </c>
      <c r="K56" s="361">
        <v>44713</v>
      </c>
      <c r="L56" s="361">
        <v>44986</v>
      </c>
      <c r="M56" s="315" t="s">
        <v>97</v>
      </c>
      <c r="N56" s="315" t="s">
        <v>1000</v>
      </c>
      <c r="O56" s="315" t="s">
        <v>268</v>
      </c>
      <c r="P56" s="315" t="s">
        <v>87</v>
      </c>
      <c r="Q56" s="325">
        <v>0</v>
      </c>
      <c r="R56" s="206">
        <v>2022</v>
      </c>
      <c r="S56" s="203">
        <v>0.5</v>
      </c>
      <c r="T56" s="203">
        <v>1</v>
      </c>
      <c r="U56" s="23"/>
      <c r="V56" s="23"/>
      <c r="W56" s="23"/>
      <c r="X56" s="23"/>
      <c r="Y56" s="23"/>
      <c r="Z56" s="23"/>
      <c r="AA56" s="23"/>
      <c r="AB56" s="325">
        <v>1</v>
      </c>
      <c r="AC56" s="328"/>
      <c r="AD56" s="328"/>
      <c r="AE56" s="328"/>
      <c r="AF56" s="328"/>
      <c r="AG56" s="328"/>
      <c r="AH56" s="328"/>
      <c r="AI56" s="328"/>
      <c r="AJ56" s="328"/>
      <c r="AK56" s="328"/>
      <c r="AL56" s="387" t="str">
        <f t="shared" si="8"/>
        <v/>
      </c>
      <c r="AM56" s="190"/>
      <c r="AN56" s="23" t="s">
        <v>88</v>
      </c>
      <c r="AO56" s="190"/>
      <c r="AP56" s="23"/>
      <c r="AQ56" s="190"/>
      <c r="AR56" s="23" t="s">
        <v>88</v>
      </c>
      <c r="AS56" s="190"/>
      <c r="AT56" s="23"/>
      <c r="AU56" s="97"/>
      <c r="AV56" s="23"/>
      <c r="AW56" s="97"/>
      <c r="AX56" s="23"/>
      <c r="AY56" s="97"/>
      <c r="AZ56" s="23"/>
      <c r="BA56" s="97"/>
      <c r="BB56" s="23"/>
      <c r="BC56" s="97"/>
      <c r="BD56" s="23"/>
      <c r="BE56" s="97"/>
      <c r="BF56" s="23"/>
      <c r="BG56" s="97"/>
      <c r="BH56" s="23"/>
      <c r="BI56" s="97"/>
      <c r="BJ56" s="23"/>
      <c r="BK56" s="97"/>
      <c r="BL56" s="23"/>
      <c r="BM56" s="97"/>
      <c r="BN56" s="23"/>
      <c r="BO56" s="97"/>
      <c r="BP56" s="23"/>
      <c r="BQ56" s="97"/>
      <c r="BR56" s="23"/>
      <c r="BS56" s="97"/>
      <c r="BT56" s="23"/>
      <c r="BU56" s="97"/>
      <c r="BV56" s="23"/>
      <c r="BW56" s="97" t="str">
        <f t="shared" si="7"/>
        <v/>
      </c>
      <c r="BX56" s="384"/>
      <c r="BY56" s="326"/>
      <c r="BZ56" s="325"/>
      <c r="CA56" s="325"/>
      <c r="CB56" s="97"/>
      <c r="CC56" s="325"/>
      <c r="CD56" s="546"/>
      <c r="CE56" s="546"/>
      <c r="CF56" s="326"/>
      <c r="CG56" s="325"/>
      <c r="CH56" s="325"/>
      <c r="CI56" s="97"/>
      <c r="CJ56" s="325"/>
      <c r="CK56" s="546"/>
      <c r="CL56" s="546"/>
      <c r="CM56" s="326"/>
      <c r="CN56" s="325"/>
      <c r="CO56" s="325"/>
      <c r="CP56" s="97"/>
      <c r="CQ56" s="325"/>
      <c r="CR56" s="546"/>
      <c r="CS56" s="546"/>
      <c r="CT56" s="326"/>
      <c r="CU56" s="325"/>
      <c r="CV56" s="325"/>
      <c r="CW56" s="97"/>
      <c r="CX56" s="325"/>
      <c r="CY56" s="546"/>
      <c r="CZ56" s="546"/>
      <c r="DA56" s="326"/>
      <c r="DB56" s="325"/>
      <c r="DC56" s="325"/>
      <c r="DD56" s="97"/>
      <c r="DE56" s="325"/>
      <c r="DF56" s="546"/>
      <c r="DG56" s="546"/>
      <c r="DH56" s="326"/>
      <c r="DI56" s="325"/>
      <c r="DJ56" s="325"/>
      <c r="DK56" s="97"/>
      <c r="DL56" s="325"/>
      <c r="DM56" s="546"/>
      <c r="DN56" s="546"/>
    </row>
    <row r="57" spans="2:118" s="360" customFormat="1" ht="38.25">
      <c r="B57" s="535"/>
      <c r="C57" s="527"/>
      <c r="D57" s="264" t="s">
        <v>1369</v>
      </c>
      <c r="E57" s="432">
        <v>1E-3</v>
      </c>
      <c r="F57" s="438" t="s">
        <v>90</v>
      </c>
      <c r="G57" s="438" t="s">
        <v>228</v>
      </c>
      <c r="H57" s="438" t="s">
        <v>269</v>
      </c>
      <c r="I57" s="438" t="s">
        <v>270</v>
      </c>
      <c r="J57" s="385" t="s">
        <v>271</v>
      </c>
      <c r="K57" s="361">
        <v>44713</v>
      </c>
      <c r="L57" s="156">
        <v>47848</v>
      </c>
      <c r="M57" s="315" t="s">
        <v>78</v>
      </c>
      <c r="N57" s="315" t="s">
        <v>272</v>
      </c>
      <c r="O57" s="315" t="s">
        <v>273</v>
      </c>
      <c r="P57" s="315" t="s">
        <v>125</v>
      </c>
      <c r="Q57" s="23">
        <v>0</v>
      </c>
      <c r="R57" s="200">
        <v>2022</v>
      </c>
      <c r="S57" s="23">
        <v>2</v>
      </c>
      <c r="T57" s="23">
        <v>2</v>
      </c>
      <c r="U57" s="23">
        <v>2</v>
      </c>
      <c r="V57" s="23">
        <v>2</v>
      </c>
      <c r="W57" s="23">
        <v>2</v>
      </c>
      <c r="X57" s="23">
        <v>2</v>
      </c>
      <c r="Y57" s="23">
        <v>2</v>
      </c>
      <c r="Z57" s="23">
        <v>2</v>
      </c>
      <c r="AA57" s="23">
        <v>2</v>
      </c>
      <c r="AB57" s="23">
        <v>2</v>
      </c>
      <c r="AC57" s="328">
        <v>100</v>
      </c>
      <c r="AD57" s="328">
        <v>106</v>
      </c>
      <c r="AE57" s="328">
        <v>112.36</v>
      </c>
      <c r="AF57" s="328">
        <v>119.1016</v>
      </c>
      <c r="AG57" s="328">
        <v>126.247696</v>
      </c>
      <c r="AH57" s="328">
        <v>133.82255799999999</v>
      </c>
      <c r="AI57" s="328">
        <v>141.851911</v>
      </c>
      <c r="AJ57" s="328">
        <v>150.36302599999999</v>
      </c>
      <c r="AK57" s="328">
        <v>159.384807</v>
      </c>
      <c r="AL57" s="387">
        <f t="shared" si="8"/>
        <v>1149.1315979999999</v>
      </c>
      <c r="AM57" s="284">
        <f>+AC57</f>
        <v>100</v>
      </c>
      <c r="AN57" s="221" t="s">
        <v>119</v>
      </c>
      <c r="AO57" s="284"/>
      <c r="AP57" s="309"/>
      <c r="AQ57" s="284">
        <f>+AD57</f>
        <v>106</v>
      </c>
      <c r="AR57" s="221" t="s">
        <v>119</v>
      </c>
      <c r="AS57" s="284"/>
      <c r="AT57" s="309"/>
      <c r="AU57" s="284">
        <f>+AE57</f>
        <v>112.36</v>
      </c>
      <c r="AV57" s="221" t="s">
        <v>119</v>
      </c>
      <c r="AW57" s="284"/>
      <c r="AX57" s="309"/>
      <c r="AY57" s="284">
        <f>+AF57</f>
        <v>119.1016</v>
      </c>
      <c r="AZ57" s="221" t="s">
        <v>119</v>
      </c>
      <c r="BA57" s="284"/>
      <c r="BB57" s="309"/>
      <c r="BC57" s="284">
        <f>+AG57</f>
        <v>126.247696</v>
      </c>
      <c r="BD57" s="221" t="s">
        <v>119</v>
      </c>
      <c r="BE57" s="284"/>
      <c r="BF57" s="309"/>
      <c r="BG57" s="284">
        <f>+AH57</f>
        <v>133.82255799999999</v>
      </c>
      <c r="BH57" s="221" t="s">
        <v>119</v>
      </c>
      <c r="BI57" s="284"/>
      <c r="BJ57" s="309"/>
      <c r="BK57" s="284">
        <f>+AI57</f>
        <v>141.851911</v>
      </c>
      <c r="BL57" s="221" t="s">
        <v>119</v>
      </c>
      <c r="BM57" s="284"/>
      <c r="BN57" s="309"/>
      <c r="BO57" s="284">
        <f>+AJ57</f>
        <v>150.36302599999999</v>
      </c>
      <c r="BP57" s="221" t="s">
        <v>119</v>
      </c>
      <c r="BQ57" s="284"/>
      <c r="BR57" s="309"/>
      <c r="BS57" s="284">
        <f>+AK57</f>
        <v>159.384807</v>
      </c>
      <c r="BT57" s="221" t="s">
        <v>119</v>
      </c>
      <c r="BU57" s="190"/>
      <c r="BV57" s="23"/>
      <c r="BW57" s="97">
        <f t="shared" si="7"/>
        <v>1149.1315979999999</v>
      </c>
      <c r="BX57" s="384"/>
      <c r="BY57" s="326"/>
      <c r="BZ57" s="325"/>
      <c r="CA57" s="325"/>
      <c r="CB57" s="97"/>
      <c r="CC57" s="325"/>
      <c r="CD57" s="546"/>
      <c r="CE57" s="546"/>
      <c r="CF57" s="326"/>
      <c r="CG57" s="325"/>
      <c r="CH57" s="325"/>
      <c r="CI57" s="97"/>
      <c r="CJ57" s="325"/>
      <c r="CK57" s="546"/>
      <c r="CL57" s="546"/>
      <c r="CM57" s="326"/>
      <c r="CN57" s="325"/>
      <c r="CO57" s="325"/>
      <c r="CP57" s="97"/>
      <c r="CQ57" s="325"/>
      <c r="CR57" s="546"/>
      <c r="CS57" s="546"/>
      <c r="CT57" s="326"/>
      <c r="CU57" s="325"/>
      <c r="CV57" s="325"/>
      <c r="CW57" s="97"/>
      <c r="CX57" s="325"/>
      <c r="CY57" s="546"/>
      <c r="CZ57" s="546"/>
      <c r="DA57" s="326"/>
      <c r="DB57" s="325"/>
      <c r="DC57" s="325"/>
      <c r="DD57" s="97"/>
      <c r="DE57" s="325"/>
      <c r="DF57" s="546"/>
      <c r="DG57" s="546"/>
      <c r="DH57" s="326"/>
      <c r="DI57" s="325"/>
      <c r="DJ57" s="325"/>
      <c r="DK57" s="97"/>
      <c r="DL57" s="325"/>
      <c r="DM57" s="546"/>
      <c r="DN57" s="546"/>
    </row>
    <row r="58" spans="2:118" s="360" customFormat="1" ht="38.25">
      <c r="B58" s="535"/>
      <c r="C58" s="527"/>
      <c r="D58" s="264" t="s">
        <v>1370</v>
      </c>
      <c r="E58" s="432">
        <v>1E-3</v>
      </c>
      <c r="F58" s="438" t="s">
        <v>90</v>
      </c>
      <c r="G58" s="438" t="s">
        <v>228</v>
      </c>
      <c r="H58" s="438" t="s">
        <v>239</v>
      </c>
      <c r="I58" s="438" t="s">
        <v>240</v>
      </c>
      <c r="J58" s="385" t="s">
        <v>241</v>
      </c>
      <c r="K58" s="361">
        <v>44713</v>
      </c>
      <c r="L58" s="156">
        <v>47848</v>
      </c>
      <c r="M58" s="315" t="s">
        <v>97</v>
      </c>
      <c r="N58" s="315" t="s">
        <v>242</v>
      </c>
      <c r="O58" s="315" t="s">
        <v>243</v>
      </c>
      <c r="P58" s="315" t="s">
        <v>244</v>
      </c>
      <c r="Q58" s="23">
        <v>0</v>
      </c>
      <c r="R58" s="200">
        <v>2022</v>
      </c>
      <c r="S58" s="23">
        <v>2000</v>
      </c>
      <c r="T58" s="23">
        <v>4100</v>
      </c>
      <c r="U58" s="23">
        <v>6300</v>
      </c>
      <c r="V58" s="23">
        <v>8600</v>
      </c>
      <c r="W58" s="23">
        <v>11000</v>
      </c>
      <c r="X58" s="23">
        <v>13500</v>
      </c>
      <c r="Y58" s="23">
        <v>16100</v>
      </c>
      <c r="Z58" s="23">
        <v>18800</v>
      </c>
      <c r="AA58" s="23">
        <v>21600</v>
      </c>
      <c r="AB58" s="23">
        <v>21600</v>
      </c>
      <c r="AC58" s="332"/>
      <c r="AD58" s="328"/>
      <c r="AE58" s="328"/>
      <c r="AF58" s="328"/>
      <c r="AG58" s="328"/>
      <c r="AH58" s="328"/>
      <c r="AI58" s="328"/>
      <c r="AJ58" s="328"/>
      <c r="AK58" s="328"/>
      <c r="AL58" s="387" t="str">
        <f t="shared" si="8"/>
        <v/>
      </c>
      <c r="AM58" s="190"/>
      <c r="AN58" s="23" t="s">
        <v>88</v>
      </c>
      <c r="AO58" s="190"/>
      <c r="AP58" s="23"/>
      <c r="AQ58" s="190"/>
      <c r="AR58" s="23" t="s">
        <v>88</v>
      </c>
      <c r="AS58" s="190"/>
      <c r="AT58" s="23"/>
      <c r="AU58" s="190"/>
      <c r="AV58" s="23" t="s">
        <v>88</v>
      </c>
      <c r="AW58" s="190"/>
      <c r="AX58" s="23"/>
      <c r="AY58" s="190"/>
      <c r="AZ58" s="23" t="s">
        <v>88</v>
      </c>
      <c r="BA58" s="190"/>
      <c r="BB58" s="23"/>
      <c r="BC58" s="190"/>
      <c r="BD58" s="23" t="s">
        <v>88</v>
      </c>
      <c r="BE58" s="190"/>
      <c r="BF58" s="23"/>
      <c r="BG58" s="190"/>
      <c r="BH58" s="23" t="s">
        <v>88</v>
      </c>
      <c r="BI58" s="190"/>
      <c r="BJ58" s="23"/>
      <c r="BK58" s="190"/>
      <c r="BL58" s="23" t="s">
        <v>88</v>
      </c>
      <c r="BM58" s="190"/>
      <c r="BN58" s="23"/>
      <c r="BO58" s="190"/>
      <c r="BP58" s="23" t="s">
        <v>88</v>
      </c>
      <c r="BQ58" s="190"/>
      <c r="BR58" s="23"/>
      <c r="BS58" s="190"/>
      <c r="BT58" s="23" t="s">
        <v>88</v>
      </c>
      <c r="BU58" s="190"/>
      <c r="BV58" s="23"/>
      <c r="BW58" s="97" t="str">
        <f t="shared" si="7"/>
        <v/>
      </c>
      <c r="BX58" s="384"/>
      <c r="BY58" s="326"/>
      <c r="BZ58" s="325"/>
      <c r="CA58" s="325"/>
      <c r="CB58" s="97"/>
      <c r="CC58" s="325"/>
      <c r="CD58" s="546"/>
      <c r="CE58" s="546"/>
      <c r="CF58" s="326"/>
      <c r="CG58" s="325"/>
      <c r="CH58" s="325"/>
      <c r="CI58" s="97"/>
      <c r="CJ58" s="325"/>
      <c r="CK58" s="546"/>
      <c r="CL58" s="546"/>
      <c r="CM58" s="326"/>
      <c r="CN58" s="325"/>
      <c r="CO58" s="325"/>
      <c r="CP58" s="97"/>
      <c r="CQ58" s="325"/>
      <c r="CR58" s="546"/>
      <c r="CS58" s="546"/>
      <c r="CT58" s="326"/>
      <c r="CU58" s="325"/>
      <c r="CV58" s="325"/>
      <c r="CW58" s="97"/>
      <c r="CX58" s="325"/>
      <c r="CY58" s="546"/>
      <c r="CZ58" s="546"/>
      <c r="DA58" s="326"/>
      <c r="DB58" s="325"/>
      <c r="DC58" s="325"/>
      <c r="DD58" s="97"/>
      <c r="DE58" s="325"/>
      <c r="DF58" s="546"/>
      <c r="DG58" s="546"/>
      <c r="DH58" s="326"/>
      <c r="DI58" s="325"/>
      <c r="DJ58" s="325"/>
      <c r="DK58" s="97"/>
      <c r="DL58" s="325"/>
      <c r="DM58" s="546"/>
      <c r="DN58" s="546"/>
    </row>
    <row r="59" spans="2:118" s="360" customFormat="1" ht="38.25">
      <c r="B59" s="535"/>
      <c r="C59" s="527"/>
      <c r="D59" s="264" t="s">
        <v>1371</v>
      </c>
      <c r="E59" s="432">
        <v>1E-3</v>
      </c>
      <c r="F59" s="438" t="s">
        <v>90</v>
      </c>
      <c r="G59" s="438" t="s">
        <v>228</v>
      </c>
      <c r="H59" s="438" t="s">
        <v>260</v>
      </c>
      <c r="I59" s="438" t="s">
        <v>261</v>
      </c>
      <c r="J59" s="385" t="s">
        <v>262</v>
      </c>
      <c r="K59" s="361">
        <v>44713</v>
      </c>
      <c r="L59" s="361">
        <v>46371</v>
      </c>
      <c r="M59" s="315" t="s">
        <v>78</v>
      </c>
      <c r="N59" s="315" t="s">
        <v>274</v>
      </c>
      <c r="O59" s="315" t="s">
        <v>275</v>
      </c>
      <c r="P59" s="315" t="s">
        <v>125</v>
      </c>
      <c r="Q59" s="23">
        <v>2</v>
      </c>
      <c r="R59" s="206">
        <v>2021</v>
      </c>
      <c r="S59" s="23">
        <v>2</v>
      </c>
      <c r="T59" s="23">
        <v>2</v>
      </c>
      <c r="U59" s="23">
        <v>2</v>
      </c>
      <c r="V59" s="23">
        <v>2</v>
      </c>
      <c r="W59" s="23">
        <v>2</v>
      </c>
      <c r="X59" s="23"/>
      <c r="Y59" s="23"/>
      <c r="Z59" s="23"/>
      <c r="AA59" s="23"/>
      <c r="AB59" s="23">
        <v>2</v>
      </c>
      <c r="AC59" s="328">
        <v>5</v>
      </c>
      <c r="AD59" s="328">
        <v>10</v>
      </c>
      <c r="AE59" s="328">
        <v>10</v>
      </c>
      <c r="AF59" s="328">
        <v>10</v>
      </c>
      <c r="AG59" s="328">
        <v>10</v>
      </c>
      <c r="AH59" s="328"/>
      <c r="AI59" s="328"/>
      <c r="AJ59" s="328"/>
      <c r="AK59" s="328"/>
      <c r="AL59" s="387">
        <f t="shared" si="8"/>
        <v>45</v>
      </c>
      <c r="AM59" s="190">
        <f>+AC59</f>
        <v>5</v>
      </c>
      <c r="AN59" s="221" t="s">
        <v>126</v>
      </c>
      <c r="AO59" s="190"/>
      <c r="AP59" s="23"/>
      <c r="AQ59" s="190">
        <v>10</v>
      </c>
      <c r="AR59" s="23" t="s">
        <v>126</v>
      </c>
      <c r="AS59" s="190"/>
      <c r="AT59" s="23"/>
      <c r="AU59" s="190">
        <v>10</v>
      </c>
      <c r="AV59" s="23" t="s">
        <v>126</v>
      </c>
      <c r="AW59" s="321"/>
      <c r="AX59" s="23"/>
      <c r="AY59" s="190">
        <v>10</v>
      </c>
      <c r="AZ59" s="23" t="s">
        <v>126</v>
      </c>
      <c r="BA59" s="321"/>
      <c r="BB59" s="23"/>
      <c r="BC59" s="190">
        <v>10</v>
      </c>
      <c r="BD59" s="23" t="s">
        <v>126</v>
      </c>
      <c r="BE59" s="321"/>
      <c r="BF59" s="23"/>
      <c r="BG59" s="321"/>
      <c r="BH59" s="23"/>
      <c r="BI59" s="321"/>
      <c r="BJ59" s="23"/>
      <c r="BK59" s="321"/>
      <c r="BL59" s="23"/>
      <c r="BM59" s="321"/>
      <c r="BN59" s="23"/>
      <c r="BO59" s="321"/>
      <c r="BP59" s="23"/>
      <c r="BQ59" s="321"/>
      <c r="BR59" s="23"/>
      <c r="BS59" s="190"/>
      <c r="BT59" s="23"/>
      <c r="BU59" s="190"/>
      <c r="BV59" s="23"/>
      <c r="BW59" s="97">
        <f t="shared" si="7"/>
        <v>45</v>
      </c>
      <c r="BX59" s="384"/>
      <c r="BY59" s="326"/>
      <c r="BZ59" s="325"/>
      <c r="CA59" s="325"/>
      <c r="CB59" s="97"/>
      <c r="CC59" s="325"/>
      <c r="CD59" s="546"/>
      <c r="CE59" s="546"/>
      <c r="CF59" s="326"/>
      <c r="CG59" s="325"/>
      <c r="CH59" s="325"/>
      <c r="CI59" s="97"/>
      <c r="CJ59" s="325"/>
      <c r="CK59" s="546"/>
      <c r="CL59" s="546"/>
      <c r="CM59" s="326"/>
      <c r="CN59" s="325"/>
      <c r="CO59" s="325"/>
      <c r="CP59" s="97"/>
      <c r="CQ59" s="325"/>
      <c r="CR59" s="546"/>
      <c r="CS59" s="546"/>
      <c r="CT59" s="326"/>
      <c r="CU59" s="325"/>
      <c r="CV59" s="325"/>
      <c r="CW59" s="97"/>
      <c r="CX59" s="325"/>
      <c r="CY59" s="546"/>
      <c r="CZ59" s="546"/>
      <c r="DA59" s="326"/>
      <c r="DB59" s="325"/>
      <c r="DC59" s="325"/>
      <c r="DD59" s="97"/>
      <c r="DE59" s="325"/>
      <c r="DF59" s="546"/>
      <c r="DG59" s="546"/>
      <c r="DH59" s="326"/>
      <c r="DI59" s="325"/>
      <c r="DJ59" s="325"/>
      <c r="DK59" s="97"/>
      <c r="DL59" s="325"/>
      <c r="DM59" s="546"/>
      <c r="DN59" s="546"/>
    </row>
    <row r="60" spans="2:118" s="360" customFormat="1" ht="114.75">
      <c r="B60" s="535"/>
      <c r="C60" s="527"/>
      <c r="D60" s="346" t="s">
        <v>1372</v>
      </c>
      <c r="E60" s="432">
        <v>0.01</v>
      </c>
      <c r="F60" s="438" t="s">
        <v>1443</v>
      </c>
      <c r="G60" s="438" t="s">
        <v>137</v>
      </c>
      <c r="H60" s="438" t="s">
        <v>138</v>
      </c>
      <c r="I60" s="438" t="s">
        <v>139</v>
      </c>
      <c r="J60" s="385" t="s">
        <v>140</v>
      </c>
      <c r="K60" s="364">
        <v>44927</v>
      </c>
      <c r="L60" s="156">
        <v>47848</v>
      </c>
      <c r="M60" s="315" t="s">
        <v>97</v>
      </c>
      <c r="N60" s="315" t="s">
        <v>1207</v>
      </c>
      <c r="O60" s="315" t="s">
        <v>1208</v>
      </c>
      <c r="P60" s="315" t="s">
        <v>87</v>
      </c>
      <c r="Q60" s="325">
        <v>0</v>
      </c>
      <c r="R60" s="280">
        <v>2022</v>
      </c>
      <c r="S60" s="203"/>
      <c r="T60" s="203">
        <v>0.2</v>
      </c>
      <c r="U60" s="203">
        <v>0.3</v>
      </c>
      <c r="V60" s="45">
        <v>0.4</v>
      </c>
      <c r="W60" s="45">
        <v>0.5</v>
      </c>
      <c r="X60" s="45">
        <v>0.6</v>
      </c>
      <c r="Y60" s="45">
        <v>0.7</v>
      </c>
      <c r="Z60" s="45">
        <v>0.9</v>
      </c>
      <c r="AA60" s="325">
        <v>1</v>
      </c>
      <c r="AB60" s="325">
        <v>1</v>
      </c>
      <c r="AC60" s="328"/>
      <c r="AD60" s="328">
        <v>100</v>
      </c>
      <c r="AE60" s="328">
        <v>50</v>
      </c>
      <c r="AF60" s="328">
        <v>50</v>
      </c>
      <c r="AG60" s="328">
        <v>50</v>
      </c>
      <c r="AH60" s="328">
        <v>50</v>
      </c>
      <c r="AI60" s="328">
        <v>50</v>
      </c>
      <c r="AJ60" s="328">
        <v>50</v>
      </c>
      <c r="AK60" s="328">
        <v>50</v>
      </c>
      <c r="AL60" s="387">
        <f t="shared" si="8"/>
        <v>450</v>
      </c>
      <c r="AM60" s="338"/>
      <c r="AN60" s="338"/>
      <c r="AO60" s="214"/>
      <c r="AP60" s="194"/>
      <c r="AQ60" s="214">
        <v>100</v>
      </c>
      <c r="AR60" s="316" t="s">
        <v>1209</v>
      </c>
      <c r="AS60" s="214"/>
      <c r="AT60" s="194"/>
      <c r="AU60" s="214">
        <v>50</v>
      </c>
      <c r="AV60" s="316" t="s">
        <v>1209</v>
      </c>
      <c r="AW60" s="214"/>
      <c r="AX60" s="194"/>
      <c r="AY60" s="214">
        <v>50</v>
      </c>
      <c r="AZ60" s="316" t="s">
        <v>1209</v>
      </c>
      <c r="BA60" s="214"/>
      <c r="BB60" s="194"/>
      <c r="BC60" s="214">
        <v>50</v>
      </c>
      <c r="BD60" s="316" t="s">
        <v>1209</v>
      </c>
      <c r="BE60" s="214"/>
      <c r="BF60" s="194"/>
      <c r="BG60" s="214">
        <v>50</v>
      </c>
      <c r="BH60" s="316" t="s">
        <v>1209</v>
      </c>
      <c r="BI60" s="214"/>
      <c r="BJ60" s="194"/>
      <c r="BK60" s="214">
        <v>50</v>
      </c>
      <c r="BL60" s="316" t="s">
        <v>1209</v>
      </c>
      <c r="BM60" s="214"/>
      <c r="BN60" s="194"/>
      <c r="BO60" s="214">
        <v>50</v>
      </c>
      <c r="BP60" s="316" t="s">
        <v>1209</v>
      </c>
      <c r="BQ60" s="214"/>
      <c r="BR60" s="194"/>
      <c r="BS60" s="214">
        <v>50</v>
      </c>
      <c r="BT60" s="316" t="s">
        <v>1209</v>
      </c>
      <c r="BU60" s="214"/>
      <c r="BV60" s="23"/>
      <c r="BW60" s="97">
        <f t="shared" si="7"/>
        <v>450</v>
      </c>
      <c r="BX60" s="384"/>
      <c r="BY60" s="326"/>
      <c r="BZ60" s="325"/>
      <c r="CA60" s="325"/>
      <c r="CB60" s="97"/>
      <c r="CC60" s="325"/>
      <c r="CD60" s="546"/>
      <c r="CE60" s="546"/>
      <c r="CF60" s="326"/>
      <c r="CG60" s="325"/>
      <c r="CH60" s="325"/>
      <c r="CI60" s="97"/>
      <c r="CJ60" s="325"/>
      <c r="CK60" s="546"/>
      <c r="CL60" s="546"/>
      <c r="CM60" s="326"/>
      <c r="CN60" s="325"/>
      <c r="CO60" s="325"/>
      <c r="CP60" s="97"/>
      <c r="CQ60" s="325"/>
      <c r="CR60" s="546"/>
      <c r="CS60" s="546"/>
      <c r="CT60" s="326"/>
      <c r="CU60" s="325"/>
      <c r="CV60" s="325"/>
      <c r="CW60" s="97"/>
      <c r="CX60" s="325"/>
      <c r="CY60" s="546"/>
      <c r="CZ60" s="546"/>
      <c r="DA60" s="326"/>
      <c r="DB60" s="325"/>
      <c r="DC60" s="325"/>
      <c r="DD60" s="97"/>
      <c r="DE60" s="325"/>
      <c r="DF60" s="546"/>
      <c r="DG60" s="546"/>
      <c r="DH60" s="326"/>
      <c r="DI60" s="325"/>
      <c r="DJ60" s="325"/>
      <c r="DK60" s="97"/>
      <c r="DL60" s="325"/>
      <c r="DM60" s="546"/>
      <c r="DN60" s="546"/>
    </row>
    <row r="61" spans="2:118" s="360" customFormat="1" ht="140.25">
      <c r="B61" s="535"/>
      <c r="C61" s="527"/>
      <c r="D61" s="264" t="s">
        <v>1421</v>
      </c>
      <c r="E61" s="432">
        <v>5.0000000000000001E-3</v>
      </c>
      <c r="F61" s="438" t="s">
        <v>1422</v>
      </c>
      <c r="G61" s="438" t="s">
        <v>276</v>
      </c>
      <c r="H61" s="316" t="s">
        <v>278</v>
      </c>
      <c r="I61" s="438" t="s">
        <v>279</v>
      </c>
      <c r="J61" s="385" t="s">
        <v>280</v>
      </c>
      <c r="K61" s="362">
        <v>44713</v>
      </c>
      <c r="L61" s="156">
        <v>47848</v>
      </c>
      <c r="M61" s="316" t="s">
        <v>78</v>
      </c>
      <c r="N61" s="315" t="s">
        <v>281</v>
      </c>
      <c r="O61" s="315" t="s">
        <v>1210</v>
      </c>
      <c r="P61" s="315" t="s">
        <v>125</v>
      </c>
      <c r="Q61" s="325">
        <v>0</v>
      </c>
      <c r="R61" s="316">
        <v>2021</v>
      </c>
      <c r="S61" s="203">
        <v>0.05</v>
      </c>
      <c r="T61" s="203">
        <v>0.1</v>
      </c>
      <c r="U61" s="203">
        <v>0.15</v>
      </c>
      <c r="V61" s="389">
        <v>0.2</v>
      </c>
      <c r="W61" s="389">
        <v>0.25</v>
      </c>
      <c r="X61" s="389">
        <v>0.3</v>
      </c>
      <c r="Y61" s="389">
        <v>0.35</v>
      </c>
      <c r="Z61" s="389">
        <v>0.4</v>
      </c>
      <c r="AA61" s="389">
        <v>0.45</v>
      </c>
      <c r="AB61" s="389">
        <v>0.25</v>
      </c>
      <c r="AC61" s="328">
        <v>600</v>
      </c>
      <c r="AD61" s="328">
        <v>618</v>
      </c>
      <c r="AE61" s="328">
        <v>637</v>
      </c>
      <c r="AF61" s="328">
        <v>656</v>
      </c>
      <c r="AG61" s="328">
        <v>675</v>
      </c>
      <c r="AH61" s="328">
        <v>695</v>
      </c>
      <c r="AI61" s="328">
        <v>715</v>
      </c>
      <c r="AJ61" s="328">
        <v>736</v>
      </c>
      <c r="AK61" s="328">
        <v>758</v>
      </c>
      <c r="AL61" s="387">
        <f t="shared" si="8"/>
        <v>6090</v>
      </c>
      <c r="AM61" s="419">
        <v>600</v>
      </c>
      <c r="AN61" s="221" t="s">
        <v>114</v>
      </c>
      <c r="AO61" s="368"/>
      <c r="AP61" s="368"/>
      <c r="AQ61" s="220">
        <v>618</v>
      </c>
      <c r="AR61" s="221" t="s">
        <v>114</v>
      </c>
      <c r="AS61" s="368"/>
      <c r="AT61" s="368"/>
      <c r="AU61" s="220">
        <v>637</v>
      </c>
      <c r="AV61" s="221" t="s">
        <v>114</v>
      </c>
      <c r="AW61" s="368"/>
      <c r="AX61" s="368"/>
      <c r="AY61" s="419">
        <v>656</v>
      </c>
      <c r="AZ61" s="221" t="s">
        <v>114</v>
      </c>
      <c r="BA61" s="368"/>
      <c r="BB61" s="368"/>
      <c r="BC61" s="419">
        <v>675</v>
      </c>
      <c r="BD61" s="221" t="s">
        <v>114</v>
      </c>
      <c r="BE61" s="368"/>
      <c r="BF61" s="368"/>
      <c r="BG61" s="419">
        <v>695</v>
      </c>
      <c r="BH61" s="221" t="s">
        <v>114</v>
      </c>
      <c r="BI61" s="368"/>
      <c r="BJ61" s="368"/>
      <c r="BK61" s="419">
        <v>715</v>
      </c>
      <c r="BL61" s="221" t="s">
        <v>114</v>
      </c>
      <c r="BM61" s="368"/>
      <c r="BN61" s="368"/>
      <c r="BO61" s="419">
        <v>736</v>
      </c>
      <c r="BP61" s="221" t="s">
        <v>114</v>
      </c>
      <c r="BQ61" s="368"/>
      <c r="BR61" s="368"/>
      <c r="BS61" s="419">
        <v>758</v>
      </c>
      <c r="BT61" s="221" t="s">
        <v>114</v>
      </c>
      <c r="BU61" s="368"/>
      <c r="BV61" s="368"/>
      <c r="BW61" s="97">
        <f t="shared" si="7"/>
        <v>6090</v>
      </c>
      <c r="BX61" s="384"/>
      <c r="BY61" s="326"/>
      <c r="BZ61" s="325"/>
      <c r="CA61" s="325"/>
      <c r="CB61" s="97"/>
      <c r="CC61" s="325"/>
      <c r="CD61" s="546"/>
      <c r="CE61" s="546"/>
      <c r="CF61" s="326"/>
      <c r="CG61" s="325"/>
      <c r="CH61" s="325"/>
      <c r="CI61" s="97"/>
      <c r="CJ61" s="325"/>
      <c r="CK61" s="546"/>
      <c r="CL61" s="546"/>
      <c r="CM61" s="326"/>
      <c r="CN61" s="325"/>
      <c r="CO61" s="325"/>
      <c r="CP61" s="97"/>
      <c r="CQ61" s="325"/>
      <c r="CR61" s="546"/>
      <c r="CS61" s="546"/>
      <c r="CT61" s="326"/>
      <c r="CU61" s="325"/>
      <c r="CV61" s="325"/>
      <c r="CW61" s="97"/>
      <c r="CX61" s="325"/>
      <c r="CY61" s="546"/>
      <c r="CZ61" s="546"/>
      <c r="DA61" s="326"/>
      <c r="DB61" s="325"/>
      <c r="DC61" s="325"/>
      <c r="DD61" s="97"/>
      <c r="DE61" s="325"/>
      <c r="DF61" s="546"/>
      <c r="DG61" s="546"/>
      <c r="DH61" s="326"/>
      <c r="DI61" s="325"/>
      <c r="DJ61" s="325"/>
      <c r="DK61" s="97"/>
      <c r="DL61" s="325"/>
      <c r="DM61" s="546"/>
      <c r="DN61" s="546"/>
    </row>
    <row r="62" spans="2:118" s="360" customFormat="1" ht="51">
      <c r="B62" s="535"/>
      <c r="C62" s="527"/>
      <c r="D62" s="366" t="s">
        <v>1373</v>
      </c>
      <c r="E62" s="431">
        <v>2E-3</v>
      </c>
      <c r="F62" s="438" t="s">
        <v>1423</v>
      </c>
      <c r="G62" s="438" t="s">
        <v>276</v>
      </c>
      <c r="H62" s="316" t="s">
        <v>278</v>
      </c>
      <c r="I62" s="438" t="s">
        <v>282</v>
      </c>
      <c r="J62" s="385" t="s">
        <v>283</v>
      </c>
      <c r="K62" s="362">
        <v>44713</v>
      </c>
      <c r="L62" s="156">
        <v>47848</v>
      </c>
      <c r="M62" s="316" t="s">
        <v>97</v>
      </c>
      <c r="N62" s="315" t="s">
        <v>284</v>
      </c>
      <c r="O62" s="315" t="s">
        <v>285</v>
      </c>
      <c r="P62" s="315" t="s">
        <v>125</v>
      </c>
      <c r="Q62" s="203">
        <v>0.53</v>
      </c>
      <c r="R62" s="219">
        <v>2021</v>
      </c>
      <c r="S62" s="203">
        <v>0.54</v>
      </c>
      <c r="T62" s="389">
        <v>0.55000000000000004</v>
      </c>
      <c r="U62" s="389">
        <v>0.56000000000000005</v>
      </c>
      <c r="V62" s="389">
        <v>0.56000000000000005</v>
      </c>
      <c r="W62" s="389">
        <v>0.56000000000000005</v>
      </c>
      <c r="X62" s="389">
        <v>0.56000000000000005</v>
      </c>
      <c r="Y62" s="389">
        <v>0.56000000000000005</v>
      </c>
      <c r="Z62" s="203">
        <v>0.56000000000000005</v>
      </c>
      <c r="AA62" s="203">
        <v>0.56000000000000005</v>
      </c>
      <c r="AB62" s="389">
        <v>0.56000000000000005</v>
      </c>
      <c r="AC62" s="328">
        <v>1350</v>
      </c>
      <c r="AD62" s="328">
        <v>2940</v>
      </c>
      <c r="AE62" s="328">
        <v>1500</v>
      </c>
      <c r="AF62" s="328">
        <v>1545</v>
      </c>
      <c r="AG62" s="328">
        <v>1591</v>
      </c>
      <c r="AH62" s="328">
        <v>1638</v>
      </c>
      <c r="AI62" s="328">
        <v>1687</v>
      </c>
      <c r="AJ62" s="328">
        <v>1737</v>
      </c>
      <c r="AK62" s="328">
        <v>1789</v>
      </c>
      <c r="AL62" s="387">
        <f t="shared" si="8"/>
        <v>15777</v>
      </c>
      <c r="AM62" s="220">
        <v>1350</v>
      </c>
      <c r="AN62" s="221" t="s">
        <v>114</v>
      </c>
      <c r="AO62" s="220"/>
      <c r="AP62" s="221"/>
      <c r="AQ62" s="220">
        <v>2940</v>
      </c>
      <c r="AR62" s="221" t="s">
        <v>114</v>
      </c>
      <c r="AS62" s="220"/>
      <c r="AT62" s="221"/>
      <c r="AU62" s="220">
        <v>1500</v>
      </c>
      <c r="AV62" s="221" t="s">
        <v>114</v>
      </c>
      <c r="AW62" s="220"/>
      <c r="AX62" s="221"/>
      <c r="AY62" s="220">
        <v>1545</v>
      </c>
      <c r="AZ62" s="221" t="s">
        <v>114</v>
      </c>
      <c r="BA62" s="220"/>
      <c r="BB62" s="220"/>
      <c r="BC62" s="220">
        <v>1591</v>
      </c>
      <c r="BD62" s="221" t="s">
        <v>114</v>
      </c>
      <c r="BE62" s="220"/>
      <c r="BF62" s="220"/>
      <c r="BG62" s="220">
        <v>1638</v>
      </c>
      <c r="BH62" s="221" t="s">
        <v>114</v>
      </c>
      <c r="BI62" s="220"/>
      <c r="BJ62" s="220"/>
      <c r="BK62" s="220">
        <v>1687</v>
      </c>
      <c r="BL62" s="221" t="s">
        <v>114</v>
      </c>
      <c r="BM62" s="220"/>
      <c r="BN62" s="220"/>
      <c r="BO62" s="220">
        <v>1737</v>
      </c>
      <c r="BP62" s="221" t="s">
        <v>114</v>
      </c>
      <c r="BQ62" s="220"/>
      <c r="BR62" s="220"/>
      <c r="BS62" s="220">
        <v>1789</v>
      </c>
      <c r="BT62" s="221" t="s">
        <v>114</v>
      </c>
      <c r="BU62" s="220"/>
      <c r="BV62" s="220"/>
      <c r="BW62" s="97">
        <f t="shared" si="7"/>
        <v>15777</v>
      </c>
      <c r="BX62" s="384"/>
      <c r="BY62" s="313"/>
      <c r="BZ62" s="45"/>
      <c r="CA62" s="45"/>
      <c r="CB62" s="97"/>
      <c r="CC62" s="45"/>
      <c r="CD62" s="546"/>
      <c r="CE62" s="546"/>
      <c r="CF62" s="313"/>
      <c r="CG62" s="45"/>
      <c r="CH62" s="45"/>
      <c r="CI62" s="97"/>
      <c r="CJ62" s="45"/>
      <c r="CK62" s="546"/>
      <c r="CL62" s="546"/>
      <c r="CM62" s="313"/>
      <c r="CN62" s="45"/>
      <c r="CO62" s="45"/>
      <c r="CP62" s="97"/>
      <c r="CQ62" s="45"/>
      <c r="CR62" s="546"/>
      <c r="CS62" s="546"/>
      <c r="CT62" s="313"/>
      <c r="CU62" s="45"/>
      <c r="CV62" s="45"/>
      <c r="CW62" s="97"/>
      <c r="CX62" s="45"/>
      <c r="CY62" s="546"/>
      <c r="CZ62" s="546"/>
      <c r="DA62" s="313"/>
      <c r="DB62" s="45"/>
      <c r="DC62" s="45"/>
      <c r="DD62" s="97"/>
      <c r="DE62" s="45"/>
      <c r="DF62" s="546"/>
      <c r="DG62" s="546"/>
      <c r="DH62" s="313"/>
      <c r="DI62" s="45"/>
      <c r="DJ62" s="45"/>
      <c r="DK62" s="97"/>
      <c r="DL62" s="45"/>
      <c r="DM62" s="546"/>
      <c r="DN62" s="546"/>
    </row>
    <row r="63" spans="2:118" s="360" customFormat="1" ht="51">
      <c r="B63" s="535"/>
      <c r="C63" s="527"/>
      <c r="D63" s="264" t="s">
        <v>1374</v>
      </c>
      <c r="E63" s="432">
        <v>1E-3</v>
      </c>
      <c r="F63" s="438" t="s">
        <v>1424</v>
      </c>
      <c r="G63" s="438" t="s">
        <v>276</v>
      </c>
      <c r="H63" s="316" t="s">
        <v>286</v>
      </c>
      <c r="I63" s="438" t="s">
        <v>287</v>
      </c>
      <c r="J63" s="385" t="s">
        <v>288</v>
      </c>
      <c r="K63" s="362">
        <v>44713</v>
      </c>
      <c r="L63" s="156">
        <v>47848</v>
      </c>
      <c r="M63" s="315" t="s">
        <v>97</v>
      </c>
      <c r="N63" s="315" t="s">
        <v>289</v>
      </c>
      <c r="O63" s="315" t="s">
        <v>290</v>
      </c>
      <c r="P63" s="316" t="s">
        <v>125</v>
      </c>
      <c r="Q63" s="203">
        <v>0.45</v>
      </c>
      <c r="R63" s="219">
        <v>2021</v>
      </c>
      <c r="S63" s="203">
        <v>0.46440000000000003</v>
      </c>
      <c r="T63" s="203">
        <v>0.47926080000000004</v>
      </c>
      <c r="U63" s="203">
        <v>0.49459714560000007</v>
      </c>
      <c r="V63" s="203">
        <v>0.51042425425920013</v>
      </c>
      <c r="W63" s="203">
        <v>0.52675783039549451</v>
      </c>
      <c r="X63" s="203">
        <v>0.54361408096815034</v>
      </c>
      <c r="Y63" s="203">
        <v>0.56100973155913114</v>
      </c>
      <c r="Z63" s="203">
        <v>0.57896204296902332</v>
      </c>
      <c r="AA63" s="203">
        <v>0.59748882834403205</v>
      </c>
      <c r="AB63" s="389">
        <v>0.53</v>
      </c>
      <c r="AC63" s="328">
        <v>6867</v>
      </c>
      <c r="AD63" s="328">
        <v>7086.7440000000006</v>
      </c>
      <c r="AE63" s="328">
        <v>7313.5198080000009</v>
      </c>
      <c r="AF63" s="328">
        <v>7547.5524418560008</v>
      </c>
      <c r="AG63" s="328">
        <v>7789.0741199953927</v>
      </c>
      <c r="AH63" s="328">
        <v>8038.3244918352457</v>
      </c>
      <c r="AI63" s="328">
        <v>8295.5508755739738</v>
      </c>
      <c r="AJ63" s="328">
        <v>8561.0085035923421</v>
      </c>
      <c r="AK63" s="328">
        <v>8834.9607757072972</v>
      </c>
      <c r="AL63" s="387">
        <f t="shared" si="8"/>
        <v>70333.735016560255</v>
      </c>
      <c r="AM63" s="220">
        <v>6867</v>
      </c>
      <c r="AN63" s="221" t="s">
        <v>114</v>
      </c>
      <c r="AO63" s="220"/>
      <c r="AP63" s="221"/>
      <c r="AQ63" s="220">
        <v>7086.7440000000006</v>
      </c>
      <c r="AR63" s="221" t="s">
        <v>114</v>
      </c>
      <c r="AS63" s="220"/>
      <c r="AT63" s="221"/>
      <c r="AU63" s="220">
        <v>7313.5198080000009</v>
      </c>
      <c r="AV63" s="221" t="s">
        <v>114</v>
      </c>
      <c r="AW63" s="368"/>
      <c r="AX63" s="368"/>
      <c r="AY63" s="220">
        <v>7547.5524418560008</v>
      </c>
      <c r="AZ63" s="220" t="s">
        <v>114</v>
      </c>
      <c r="BA63" s="220"/>
      <c r="BB63" s="220"/>
      <c r="BC63" s="220">
        <v>7789.0741199953927</v>
      </c>
      <c r="BD63" s="220" t="s">
        <v>114</v>
      </c>
      <c r="BE63" s="220"/>
      <c r="BF63" s="220"/>
      <c r="BG63" s="220">
        <v>8038.3244918352457</v>
      </c>
      <c r="BH63" s="220" t="s">
        <v>114</v>
      </c>
      <c r="BI63" s="220"/>
      <c r="BJ63" s="220"/>
      <c r="BK63" s="220">
        <v>8295.5508755739738</v>
      </c>
      <c r="BL63" s="220" t="s">
        <v>114</v>
      </c>
      <c r="BM63" s="220"/>
      <c r="BN63" s="220"/>
      <c r="BO63" s="220">
        <v>8561.0085035923421</v>
      </c>
      <c r="BP63" s="220" t="s">
        <v>114</v>
      </c>
      <c r="BQ63" s="220"/>
      <c r="BR63" s="220"/>
      <c r="BS63" s="220">
        <v>8834.9607757072972</v>
      </c>
      <c r="BT63" s="220" t="s">
        <v>114</v>
      </c>
      <c r="BU63" s="220"/>
      <c r="BV63" s="220"/>
      <c r="BW63" s="97">
        <f t="shared" si="7"/>
        <v>70333.735016560255</v>
      </c>
      <c r="BX63" s="384"/>
      <c r="BY63" s="326"/>
      <c r="BZ63" s="325"/>
      <c r="CA63" s="325"/>
      <c r="CB63" s="97"/>
      <c r="CC63" s="325"/>
      <c r="CD63" s="546"/>
      <c r="CE63" s="546"/>
      <c r="CF63" s="326"/>
      <c r="CG63" s="325"/>
      <c r="CH63" s="325"/>
      <c r="CI63" s="97"/>
      <c r="CJ63" s="325"/>
      <c r="CK63" s="546"/>
      <c r="CL63" s="546"/>
      <c r="CM63" s="326"/>
      <c r="CN63" s="325"/>
      <c r="CO63" s="325"/>
      <c r="CP63" s="97"/>
      <c r="CQ63" s="325"/>
      <c r="CR63" s="546"/>
      <c r="CS63" s="546"/>
      <c r="CT63" s="326"/>
      <c r="CU63" s="325"/>
      <c r="CV63" s="325"/>
      <c r="CW63" s="97"/>
      <c r="CX63" s="325"/>
      <c r="CY63" s="546"/>
      <c r="CZ63" s="546"/>
      <c r="DA63" s="326"/>
      <c r="DB63" s="325"/>
      <c r="DC63" s="325"/>
      <c r="DD63" s="97"/>
      <c r="DE63" s="325"/>
      <c r="DF63" s="546"/>
      <c r="DG63" s="546"/>
      <c r="DH63" s="326"/>
      <c r="DI63" s="325"/>
      <c r="DJ63" s="325"/>
      <c r="DK63" s="97"/>
      <c r="DL63" s="325"/>
      <c r="DM63" s="546"/>
      <c r="DN63" s="546"/>
    </row>
    <row r="64" spans="2:118" s="360" customFormat="1" ht="114.75">
      <c r="B64" s="535"/>
      <c r="C64" s="527"/>
      <c r="D64" s="264" t="s">
        <v>1375</v>
      </c>
      <c r="E64" s="432">
        <v>1E-3</v>
      </c>
      <c r="F64" s="438" t="s">
        <v>90</v>
      </c>
      <c r="G64" s="438" t="s">
        <v>291</v>
      </c>
      <c r="H64" s="316" t="s">
        <v>292</v>
      </c>
      <c r="I64" s="316" t="s">
        <v>293</v>
      </c>
      <c r="J64" s="385" t="s">
        <v>294</v>
      </c>
      <c r="K64" s="362">
        <v>44743</v>
      </c>
      <c r="L64" s="192">
        <v>45291</v>
      </c>
      <c r="M64" s="316" t="s">
        <v>78</v>
      </c>
      <c r="N64" s="316" t="s">
        <v>295</v>
      </c>
      <c r="O64" s="316" t="s">
        <v>296</v>
      </c>
      <c r="P64" s="316" t="s">
        <v>87</v>
      </c>
      <c r="Q64" s="456">
        <v>0</v>
      </c>
      <c r="R64" s="316">
        <v>2022</v>
      </c>
      <c r="S64" s="203">
        <v>0.35</v>
      </c>
      <c r="T64" s="203">
        <v>1</v>
      </c>
      <c r="U64" s="316" t="s">
        <v>81</v>
      </c>
      <c r="V64" s="316" t="s">
        <v>81</v>
      </c>
      <c r="W64" s="316" t="s">
        <v>81</v>
      </c>
      <c r="X64" s="316" t="s">
        <v>81</v>
      </c>
      <c r="Y64" s="316" t="s">
        <v>81</v>
      </c>
      <c r="Z64" s="316" t="s">
        <v>81</v>
      </c>
      <c r="AA64" s="316" t="s">
        <v>81</v>
      </c>
      <c r="AB64" s="203">
        <v>1</v>
      </c>
      <c r="AC64" s="328"/>
      <c r="AD64" s="328"/>
      <c r="AE64" s="328"/>
      <c r="AF64" s="328"/>
      <c r="AG64" s="328"/>
      <c r="AH64" s="328"/>
      <c r="AI64" s="328"/>
      <c r="AJ64" s="328"/>
      <c r="AK64" s="328"/>
      <c r="AL64" s="387" t="str">
        <f t="shared" si="8"/>
        <v/>
      </c>
      <c r="AM64" s="190"/>
      <c r="AN64" s="23" t="s">
        <v>88</v>
      </c>
      <c r="AO64" s="190"/>
      <c r="AP64" s="23"/>
      <c r="AQ64" s="190"/>
      <c r="AR64" s="23" t="s">
        <v>88</v>
      </c>
      <c r="AS64" s="190"/>
      <c r="AT64" s="23"/>
      <c r="AU64" s="97"/>
      <c r="AV64" s="23"/>
      <c r="AW64" s="97"/>
      <c r="AX64" s="23"/>
      <c r="AY64" s="97"/>
      <c r="AZ64" s="23"/>
      <c r="BA64" s="97"/>
      <c r="BB64" s="23"/>
      <c r="BC64" s="97"/>
      <c r="BD64" s="23"/>
      <c r="BE64" s="97"/>
      <c r="BF64" s="23"/>
      <c r="BG64" s="97"/>
      <c r="BH64" s="23"/>
      <c r="BI64" s="97"/>
      <c r="BJ64" s="23"/>
      <c r="BK64" s="97"/>
      <c r="BL64" s="23"/>
      <c r="BM64" s="97"/>
      <c r="BN64" s="23"/>
      <c r="BO64" s="97"/>
      <c r="BP64" s="23"/>
      <c r="BQ64" s="97"/>
      <c r="BR64" s="23"/>
      <c r="BS64" s="97"/>
      <c r="BT64" s="23"/>
      <c r="BU64" s="97"/>
      <c r="BV64" s="23"/>
      <c r="BW64" s="97" t="str">
        <f t="shared" si="7"/>
        <v/>
      </c>
      <c r="BX64" s="384"/>
      <c r="BY64" s="326"/>
      <c r="BZ64" s="325"/>
      <c r="CA64" s="325"/>
      <c r="CB64" s="97"/>
      <c r="CC64" s="325"/>
      <c r="CD64" s="546"/>
      <c r="CE64" s="546"/>
      <c r="CF64" s="326"/>
      <c r="CG64" s="325"/>
      <c r="CH64" s="325"/>
      <c r="CI64" s="97"/>
      <c r="CJ64" s="325"/>
      <c r="CK64" s="546"/>
      <c r="CL64" s="546"/>
      <c r="CM64" s="326"/>
      <c r="CN64" s="325"/>
      <c r="CO64" s="325"/>
      <c r="CP64" s="97"/>
      <c r="CQ64" s="325"/>
      <c r="CR64" s="546"/>
      <c r="CS64" s="546"/>
      <c r="CT64" s="326"/>
      <c r="CU64" s="325"/>
      <c r="CV64" s="325"/>
      <c r="CW64" s="97"/>
      <c r="CX64" s="325"/>
      <c r="CY64" s="546"/>
      <c r="CZ64" s="546"/>
      <c r="DA64" s="326"/>
      <c r="DB64" s="325"/>
      <c r="DC64" s="325"/>
      <c r="DD64" s="97"/>
      <c r="DE64" s="325"/>
      <c r="DF64" s="546"/>
      <c r="DG64" s="546"/>
      <c r="DH64" s="326"/>
      <c r="DI64" s="325"/>
      <c r="DJ64" s="325"/>
      <c r="DK64" s="97"/>
      <c r="DL64" s="325"/>
      <c r="DM64" s="546"/>
      <c r="DN64" s="546"/>
    </row>
    <row r="65" spans="1:118" s="124" customFormat="1" ht="102">
      <c r="B65" s="535"/>
      <c r="C65" s="527"/>
      <c r="D65" s="264" t="s">
        <v>1376</v>
      </c>
      <c r="E65" s="432">
        <v>1E-3</v>
      </c>
      <c r="F65" s="187" t="s">
        <v>90</v>
      </c>
      <c r="G65" s="187" t="s">
        <v>291</v>
      </c>
      <c r="H65" s="136" t="s">
        <v>297</v>
      </c>
      <c r="I65" s="136" t="s">
        <v>298</v>
      </c>
      <c r="J65" s="385" t="s">
        <v>299</v>
      </c>
      <c r="K65" s="156">
        <v>44743</v>
      </c>
      <c r="L65" s="192">
        <v>45291</v>
      </c>
      <c r="M65" s="136" t="s">
        <v>78</v>
      </c>
      <c r="N65" s="136" t="s">
        <v>300</v>
      </c>
      <c r="O65" s="136" t="s">
        <v>1211</v>
      </c>
      <c r="P65" s="136" t="s">
        <v>87</v>
      </c>
      <c r="Q65" s="201">
        <v>0</v>
      </c>
      <c r="R65" s="136">
        <v>2022</v>
      </c>
      <c r="S65" s="201">
        <v>0.25</v>
      </c>
      <c r="T65" s="201">
        <v>1</v>
      </c>
      <c r="U65" s="23"/>
      <c r="V65" s="23"/>
      <c r="W65" s="23"/>
      <c r="X65" s="23"/>
      <c r="Y65" s="23"/>
      <c r="Z65" s="23"/>
      <c r="AA65" s="23"/>
      <c r="AB65" s="201">
        <v>1</v>
      </c>
      <c r="AC65" s="328"/>
      <c r="AD65" s="328"/>
      <c r="AE65" s="328"/>
      <c r="AF65" s="328"/>
      <c r="AG65" s="328"/>
      <c r="AH65" s="328"/>
      <c r="AI65" s="328"/>
      <c r="AJ65" s="328"/>
      <c r="AK65" s="328"/>
      <c r="AL65" s="454" t="str">
        <f t="shared" si="8"/>
        <v/>
      </c>
      <c r="AM65" s="190"/>
      <c r="AN65" s="23" t="s">
        <v>88</v>
      </c>
      <c r="AO65" s="190"/>
      <c r="AP65" s="23"/>
      <c r="AQ65" s="190"/>
      <c r="AR65" s="23" t="s">
        <v>88</v>
      </c>
      <c r="AS65" s="190"/>
      <c r="AT65" s="23"/>
      <c r="AU65" s="321"/>
      <c r="AV65" s="23"/>
      <c r="AW65" s="321"/>
      <c r="AX65" s="23"/>
      <c r="AY65" s="321"/>
      <c r="AZ65" s="23"/>
      <c r="BA65" s="321" t="s">
        <v>301</v>
      </c>
      <c r="BB65" s="23"/>
      <c r="BC65" s="321"/>
      <c r="BD65" s="23"/>
      <c r="BE65" s="321"/>
      <c r="BF65" s="23"/>
      <c r="BG65" s="321"/>
      <c r="BH65" s="23"/>
      <c r="BI65" s="321"/>
      <c r="BJ65" s="23"/>
      <c r="BK65" s="321"/>
      <c r="BL65" s="23"/>
      <c r="BM65" s="321"/>
      <c r="BN65" s="23"/>
      <c r="BO65" s="321"/>
      <c r="BP65" s="23"/>
      <c r="BQ65" s="321"/>
      <c r="BR65" s="23"/>
      <c r="BS65" s="190"/>
      <c r="BT65" s="23"/>
      <c r="BU65" s="190"/>
      <c r="BV65" s="23"/>
      <c r="BW65" s="97" t="str">
        <f t="shared" si="7"/>
        <v/>
      </c>
      <c r="BX65" s="384"/>
      <c r="BY65" s="305"/>
      <c r="BZ65" s="291"/>
      <c r="CA65" s="291"/>
      <c r="CB65" s="97"/>
      <c r="CC65" s="291"/>
      <c r="CD65" s="546"/>
      <c r="CE65" s="546"/>
      <c r="CF65" s="305"/>
      <c r="CG65" s="291"/>
      <c r="CH65" s="291"/>
      <c r="CI65" s="97"/>
      <c r="CJ65" s="291"/>
      <c r="CK65" s="546"/>
      <c r="CL65" s="546"/>
      <c r="CM65" s="305"/>
      <c r="CN65" s="291"/>
      <c r="CO65" s="291"/>
      <c r="CP65" s="97"/>
      <c r="CQ65" s="291"/>
      <c r="CR65" s="546"/>
      <c r="CS65" s="546"/>
      <c r="CT65" s="305"/>
      <c r="CU65" s="291"/>
      <c r="CV65" s="291"/>
      <c r="CW65" s="97"/>
      <c r="CX65" s="291"/>
      <c r="CY65" s="546"/>
      <c r="CZ65" s="546"/>
      <c r="DA65" s="305"/>
      <c r="DB65" s="291"/>
      <c r="DC65" s="291"/>
      <c r="DD65" s="97"/>
      <c r="DE65" s="291"/>
      <c r="DF65" s="546"/>
      <c r="DG65" s="546"/>
      <c r="DH65" s="305"/>
      <c r="DI65" s="291"/>
      <c r="DJ65" s="291"/>
      <c r="DK65" s="97"/>
      <c r="DL65" s="291"/>
      <c r="DM65" s="546"/>
      <c r="DN65" s="546"/>
    </row>
    <row r="66" spans="1:118" s="360" customFormat="1" ht="51">
      <c r="B66" s="535"/>
      <c r="C66" s="527"/>
      <c r="D66" s="264" t="s">
        <v>1377</v>
      </c>
      <c r="E66" s="432">
        <v>1E-3</v>
      </c>
      <c r="F66" s="438" t="s">
        <v>90</v>
      </c>
      <c r="G66" s="438" t="s">
        <v>291</v>
      </c>
      <c r="H66" s="314" t="s">
        <v>302</v>
      </c>
      <c r="I66" s="314" t="s">
        <v>303</v>
      </c>
      <c r="J66" s="385" t="s">
        <v>304</v>
      </c>
      <c r="K66" s="375">
        <v>44743</v>
      </c>
      <c r="L66" s="156">
        <v>47848</v>
      </c>
      <c r="M66" s="371" t="s">
        <v>97</v>
      </c>
      <c r="N66" s="371" t="s">
        <v>305</v>
      </c>
      <c r="O66" s="371" t="s">
        <v>306</v>
      </c>
      <c r="P66" s="315" t="s">
        <v>125</v>
      </c>
      <c r="Q66" s="456">
        <v>0.5</v>
      </c>
      <c r="R66" s="316">
        <v>2021</v>
      </c>
      <c r="S66" s="203">
        <v>0.5</v>
      </c>
      <c r="T66" s="203">
        <v>0.5</v>
      </c>
      <c r="U66" s="203">
        <v>0.5</v>
      </c>
      <c r="V66" s="203">
        <v>0.5</v>
      </c>
      <c r="W66" s="203">
        <v>0.5</v>
      </c>
      <c r="X66" s="203">
        <v>0.5</v>
      </c>
      <c r="Y66" s="203">
        <v>0.5</v>
      </c>
      <c r="Z66" s="203">
        <v>0.5</v>
      </c>
      <c r="AA66" s="203">
        <v>0.5</v>
      </c>
      <c r="AB66" s="325">
        <v>0.5</v>
      </c>
      <c r="AC66" s="328">
        <v>455164.52</v>
      </c>
      <c r="AD66" s="328">
        <v>455164.52</v>
      </c>
      <c r="AE66" s="328">
        <v>455164.52</v>
      </c>
      <c r="AF66" s="328">
        <v>455164.52</v>
      </c>
      <c r="AG66" s="328">
        <v>455164.52</v>
      </c>
      <c r="AH66" s="328">
        <v>455164.52</v>
      </c>
      <c r="AI66" s="328">
        <v>455164.52</v>
      </c>
      <c r="AJ66" s="328">
        <v>455164.52</v>
      </c>
      <c r="AK66" s="328">
        <v>455164.52</v>
      </c>
      <c r="AL66" s="387">
        <f t="shared" si="8"/>
        <v>4096480.68</v>
      </c>
      <c r="AM66" s="277">
        <v>455165.52</v>
      </c>
      <c r="AN66" s="277" t="s">
        <v>114</v>
      </c>
      <c r="AO66" s="277"/>
      <c r="AP66" s="277"/>
      <c r="AQ66" s="277">
        <v>455165.52</v>
      </c>
      <c r="AR66" s="278" t="s">
        <v>114</v>
      </c>
      <c r="AS66" s="279"/>
      <c r="AT66" s="278"/>
      <c r="AU66" s="279">
        <v>455165.52</v>
      </c>
      <c r="AV66" s="278" t="s">
        <v>114</v>
      </c>
      <c r="AW66" s="279"/>
      <c r="AX66" s="278"/>
      <c r="AY66" s="279">
        <v>455165.52</v>
      </c>
      <c r="AZ66" s="278" t="s">
        <v>114</v>
      </c>
      <c r="BA66" s="279"/>
      <c r="BB66" s="278"/>
      <c r="BC66" s="279">
        <v>455165.52</v>
      </c>
      <c r="BD66" s="278" t="s">
        <v>114</v>
      </c>
      <c r="BE66" s="279"/>
      <c r="BF66" s="278"/>
      <c r="BG66" s="279">
        <v>455165.52</v>
      </c>
      <c r="BH66" s="278" t="s">
        <v>114</v>
      </c>
      <c r="BI66" s="279"/>
      <c r="BJ66" s="278"/>
      <c r="BK66" s="279">
        <v>455165.52</v>
      </c>
      <c r="BL66" s="278" t="s">
        <v>114</v>
      </c>
      <c r="BM66" s="279"/>
      <c r="BN66" s="278"/>
      <c r="BO66" s="279">
        <v>455165.52</v>
      </c>
      <c r="BP66" s="278" t="s">
        <v>114</v>
      </c>
      <c r="BQ66" s="279"/>
      <c r="BR66" s="278"/>
      <c r="BS66" s="279">
        <v>455165.52</v>
      </c>
      <c r="BT66" s="278" t="s">
        <v>114</v>
      </c>
      <c r="BU66" s="279"/>
      <c r="BV66" s="278"/>
      <c r="BW66" s="97">
        <f t="shared" si="7"/>
        <v>4096489.68</v>
      </c>
      <c r="BX66" s="384"/>
      <c r="BY66" s="326"/>
      <c r="BZ66" s="325"/>
      <c r="CA66" s="325"/>
      <c r="CB66" s="97"/>
      <c r="CC66" s="325"/>
      <c r="CD66" s="546"/>
      <c r="CE66" s="546"/>
      <c r="CF66" s="326"/>
      <c r="CG66" s="325"/>
      <c r="CH66" s="325"/>
      <c r="CI66" s="97"/>
      <c r="CJ66" s="325"/>
      <c r="CK66" s="546"/>
      <c r="CL66" s="546"/>
      <c r="CM66" s="326"/>
      <c r="CN66" s="325"/>
      <c r="CO66" s="325"/>
      <c r="CP66" s="97"/>
      <c r="CQ66" s="325"/>
      <c r="CR66" s="546"/>
      <c r="CS66" s="546"/>
      <c r="CT66" s="326"/>
      <c r="CU66" s="325"/>
      <c r="CV66" s="325"/>
      <c r="CW66" s="97"/>
      <c r="CX66" s="325"/>
      <c r="CY66" s="546"/>
      <c r="CZ66" s="546"/>
      <c r="DA66" s="326"/>
      <c r="DB66" s="325"/>
      <c r="DC66" s="325"/>
      <c r="DD66" s="97"/>
      <c r="DE66" s="325"/>
      <c r="DF66" s="546"/>
      <c r="DG66" s="546"/>
      <c r="DH66" s="326"/>
      <c r="DI66" s="325"/>
      <c r="DJ66" s="325"/>
      <c r="DK66" s="97"/>
      <c r="DL66" s="325"/>
      <c r="DM66" s="546"/>
      <c r="DN66" s="546"/>
    </row>
    <row r="67" spans="1:118" ht="38.25">
      <c r="A67" s="19"/>
      <c r="B67" s="535"/>
      <c r="C67" s="527"/>
      <c r="D67" s="218" t="s">
        <v>1378</v>
      </c>
      <c r="E67" s="432">
        <v>0.01</v>
      </c>
      <c r="F67" s="187" t="s">
        <v>90</v>
      </c>
      <c r="G67" s="136" t="s">
        <v>307</v>
      </c>
      <c r="H67" s="136" t="s">
        <v>308</v>
      </c>
      <c r="I67" s="136" t="s">
        <v>309</v>
      </c>
      <c r="J67" s="385" t="s">
        <v>310</v>
      </c>
      <c r="K67" s="156">
        <v>44713</v>
      </c>
      <c r="L67" s="156">
        <v>47490</v>
      </c>
      <c r="M67" s="136" t="s">
        <v>97</v>
      </c>
      <c r="N67" s="136" t="s">
        <v>311</v>
      </c>
      <c r="O67" s="136" t="s">
        <v>312</v>
      </c>
      <c r="P67" s="136" t="s">
        <v>125</v>
      </c>
      <c r="Q67" s="132">
        <v>0.43</v>
      </c>
      <c r="R67" s="127">
        <v>2021</v>
      </c>
      <c r="S67" s="132">
        <v>0.43</v>
      </c>
      <c r="T67" s="132">
        <v>0.43</v>
      </c>
      <c r="U67" s="132">
        <v>0.44</v>
      </c>
      <c r="V67" s="132">
        <v>0.45</v>
      </c>
      <c r="W67" s="132">
        <v>0.46</v>
      </c>
      <c r="X67" s="132">
        <v>0.47</v>
      </c>
      <c r="Y67" s="132">
        <v>0.47</v>
      </c>
      <c r="Z67" s="132">
        <v>0.48</v>
      </c>
      <c r="AA67" s="132">
        <v>0.49</v>
      </c>
      <c r="AB67" s="132">
        <v>0.46</v>
      </c>
      <c r="AC67" s="334">
        <v>7687</v>
      </c>
      <c r="AD67" s="333">
        <v>7687</v>
      </c>
      <c r="AE67" s="333">
        <v>7918</v>
      </c>
      <c r="AF67" s="333">
        <v>8155</v>
      </c>
      <c r="AG67" s="333">
        <v>8400</v>
      </c>
      <c r="AH67" s="333">
        <v>8652</v>
      </c>
      <c r="AI67" s="333">
        <v>8911</v>
      </c>
      <c r="AJ67" s="333">
        <v>9179</v>
      </c>
      <c r="AK67" s="333">
        <v>9454</v>
      </c>
      <c r="AL67" s="454">
        <f t="shared" si="8"/>
        <v>76043</v>
      </c>
      <c r="AM67" s="279">
        <f>+AC67</f>
        <v>7687</v>
      </c>
      <c r="AN67" s="279" t="s">
        <v>80</v>
      </c>
      <c r="AO67" s="279"/>
      <c r="AP67" s="279"/>
      <c r="AQ67" s="279">
        <f>+AD67</f>
        <v>7687</v>
      </c>
      <c r="AR67" s="279" t="s">
        <v>80</v>
      </c>
      <c r="AS67" s="279"/>
      <c r="AT67" s="279"/>
      <c r="AU67" s="279">
        <f>+AE67</f>
        <v>7918</v>
      </c>
      <c r="AV67" s="279" t="s">
        <v>80</v>
      </c>
      <c r="AW67" s="279"/>
      <c r="AX67" s="279"/>
      <c r="AY67" s="279">
        <f>+AF67</f>
        <v>8155</v>
      </c>
      <c r="AZ67" s="279" t="s">
        <v>80</v>
      </c>
      <c r="BA67" s="279"/>
      <c r="BB67" s="279"/>
      <c r="BC67" s="279">
        <f>+AG67</f>
        <v>8400</v>
      </c>
      <c r="BD67" s="279" t="s">
        <v>80</v>
      </c>
      <c r="BE67" s="279"/>
      <c r="BF67" s="279"/>
      <c r="BG67" s="279">
        <f>+AH67</f>
        <v>8652</v>
      </c>
      <c r="BH67" s="279" t="s">
        <v>80</v>
      </c>
      <c r="BI67" s="279"/>
      <c r="BJ67" s="279"/>
      <c r="BK67" s="279">
        <f>+AI67</f>
        <v>8911</v>
      </c>
      <c r="BL67" s="279" t="s">
        <v>80</v>
      </c>
      <c r="BM67" s="279"/>
      <c r="BN67" s="279"/>
      <c r="BO67" s="279">
        <f>+AJ67</f>
        <v>9179</v>
      </c>
      <c r="BP67" s="279" t="s">
        <v>80</v>
      </c>
      <c r="BQ67" s="279"/>
      <c r="BR67" s="279"/>
      <c r="BS67" s="279">
        <f>+AK67</f>
        <v>9454</v>
      </c>
      <c r="BT67" s="279" t="s">
        <v>80</v>
      </c>
      <c r="BU67" s="279"/>
      <c r="BV67" s="279"/>
      <c r="BW67" s="97">
        <f t="shared" si="7"/>
        <v>76043</v>
      </c>
      <c r="BX67" s="384" t="s">
        <v>82</v>
      </c>
      <c r="BY67" s="305"/>
      <c r="BZ67" s="291" t="str">
        <f>IF(BY67="","",IF(IF(OR(P67=[10]Desplegables!$B$5,P67=[10]Desplegables!$B$6,),(Q67-BY67)/(Q67-S67),BY67/S67)&lt;0,0%,IF(IF(OR(P67=[10]Desplegables!$B$5,P67=[10]Desplegables!$B$6,),(Q67-BY67)/(Q67-S67),BY67/S67)&gt;1,100%,IF(OR(P67=[10]Desplegables!$B$5,P67=[10]Desplegables!$B$6,),(Q67-BY67)/(Q67-S67),BY67/S67))))</f>
        <v/>
      </c>
      <c r="CA67" s="291" t="str">
        <f>IF(BY67="","",IF(IF(OR(P67=[10]Desplegables!$B$5,P67=[10]Desplegables!$B$6,),(Q67-BY67)/(Q67-AB67),BY67/AB67)&lt;0,0%,IF(IF(OR(P67=[10]Desplegables!$B$5,P67=[10]Desplegables!$B$6,),(Q67-BY67)/(Q67-AB67),BY67/AB67)&gt;1,100%,IF(OR(P67=[10]Desplegables!$B$5,P67=[10]Desplegables!$B$6,),(Q67-BY67)/(Q67-AB67),BY67/AB67))))</f>
        <v/>
      </c>
      <c r="CB67" s="97"/>
      <c r="CC67" s="291" t="str">
        <f t="shared" ref="CC67" si="40">IF(CB67="","",IF(CB67/SUM(AM67,AO67)&gt;1,100%,CB67/SUM(AM67,AO67)))</f>
        <v/>
      </c>
      <c r="CD67" s="305"/>
      <c r="CE67" s="305"/>
      <c r="CF67" s="305"/>
      <c r="CG67" s="291" t="str">
        <f>IF(CF67="","",IF(IF(OR(P67=[10]Desplegables!$B$5,P67=[10]Desplegables!$B$6,),(Q67-CF67)/(Q67-S67),CF67/S67)&lt;0,0%,IF(IF(OR(P67=[10]Desplegables!$B$5,P67=[10]Desplegables!$B$6,),(Q67-CF67)/(Q67-S67),CF67/S67)&gt;1,100%,IF(OR(P67=[10]Desplegables!$B$5,P67=[10]Desplegables!$B$6,),(Q67-CF67)/(Q67-S67),CF67/S67))))</f>
        <v/>
      </c>
      <c r="CH67" s="291" t="str">
        <f>IF(CF67="","",IF(IF(OR(P67=[10]Desplegables!$B$5,P67=[10]Desplegables!$B$6,),(Q67-CF67)/(Q67-AB67),CF67/AB67)&lt;0,0%,IF(IF(OR(P67=[10]Desplegables!$B$5,P67=[10]Desplegables!$B$6,),(Q67-CF67)/(Q67-AB67),CF67/AB67)&gt;1,100%,IF(OR(P67=[10]Desplegables!$B$5,P67=[10]Desplegables!$B$6,),(Q67-CF67)/(Q67-AB67),CF67/AB67))))</f>
        <v/>
      </c>
      <c r="CI67" s="97"/>
      <c r="CJ67" s="291" t="str">
        <f t="shared" ref="CJ67" si="41">IF(SUM(CB67,CI67)=0,"",IF(SUM(CB67,CI67)/SUM(AM67,AO67)&gt;1,100%,SUM(CB67,CI67)/SUM(AM67,AO67)))</f>
        <v/>
      </c>
      <c r="CK67" s="305"/>
      <c r="CL67" s="305"/>
      <c r="CM67" s="305"/>
      <c r="CN67" s="291" t="str">
        <f>IF(CM67="","",IF(IF(OR(P67=[10]Desplegables!$B$5,P67=[10]Desplegables!$B$6,),(Q67-CM67)/(Q67-T67),CM67/T67)&lt;0,0%,IF(IF(OR(P67=[10]Desplegables!$B$5,P67=[10]Desplegables!$B$6,),(Q67-CM67)/(Q67-T67),CM67/T67)&gt;1,100%,IF(OR(P67=[10]Desplegables!$B$5,P67=[10]Desplegables!$B$6,),(Q67-CM67)/(Q67-T67),CM67/T67))))</f>
        <v/>
      </c>
      <c r="CO67" s="291" t="str">
        <f>IF(CM67="","",IF(IF(OR(P67=[10]Desplegables!$B$5,P67=[10]Desplegables!$B$6,),(Q67-CM67)/(Q67-AB67),IF(P67=[10]Desplegables!$B$3,AVERAGE(CM67,CF67)/AB67,CM67/AB67))&lt;0,0%,IF(IF(OR(P67=[10]Desplegables!$B$5,P67=[10]Desplegables!$B$6,),(Q67-CM67)/(Q67-AB67),IF(P67=[10]Desplegables!$B$3,AVERAGE(CM67,CF67)/AB67,CM67/AB67))&gt;1,100%,IF(OR(P67=[10]Desplegables!$B$5,P67=[10]Desplegables!$B$6,),(Q67-CM67)/(Q67-AB67),IF(P67=[10]Desplegables!$B$3,AVERAGE(CM67,CF67)/AB67,CM67/AB67)))))</f>
        <v/>
      </c>
      <c r="CP67" s="97"/>
      <c r="CQ67" s="291" t="str">
        <f t="shared" ref="CQ67" si="42">IF(CP67="","",IF(CP67/SUM(AQ67,AS67)&gt;1,100%,CP67/SUM(AQ67,AS67)))</f>
        <v/>
      </c>
      <c r="CR67" s="305"/>
      <c r="CS67" s="305"/>
      <c r="CT67" s="305"/>
      <c r="CU67" s="291" t="str">
        <f>IF(CT67="","",IF(IF(OR(P67=[10]Desplegables!$B$5,P67=[10]Desplegables!$B$6,),(Q67-CT67)/(Q67-T67),CT67/T67)&lt;0,0%,IF(IF(OR(P67=[10]Desplegables!$B$5,P67=[10]Desplegables!$B$6,),(Q67-CT67)/(Q67-T67),CT67/T67)&gt;1,100%,IF(OR(P67=[10]Desplegables!$B$5,P67=[10]Desplegables!$B$6,),(Q67-CT67)/(Q67-T67),CT67/T67))))</f>
        <v/>
      </c>
      <c r="CV67" s="291" t="str">
        <f>IF(CT67="","",IF(IF(OR(P67=[10]Desplegables!$B$5,P67=[10]Desplegables!$B$6,),(Q67-CT67)/(Q67-AB67),IF(P67=[10]Desplegables!$B$3,AVERAGE(CT67,CF67)/AB67,CT67/AB67))&lt;0,0%,IF(IF(OR(P67=[10]Desplegables!$B$5,P67=[10]Desplegables!$B$6,),(Q67-CT67)/(Q67-AB67),IF(P67=[10]Desplegables!$B$3,AVERAGE(CT67,CF67)/AB67,CT67/AB67))&gt;1,100%,IF(OR(P67=[10]Desplegables!$B$5,P67=[10]Desplegables!$B$6,),(Q67-CT67)/(Q67-AB67),IF(P67=[10]Desplegables!$B$3,AVERAGE(CT67,CF67)/AB67,CT67/AB67)))))</f>
        <v/>
      </c>
      <c r="CW67" s="97"/>
      <c r="CX67" s="291" t="str">
        <f t="shared" ref="CX67" si="43">IF(SUM(CP67,CW67)=0,"",IF(SUM(CP67,CW67)/SUM(AQ67,AS67)&gt;1,100%,SUM(CP67,CW67)/SUM(AQ67,AS67)))</f>
        <v/>
      </c>
      <c r="CY67" s="305"/>
      <c r="CZ67" s="305"/>
      <c r="DA67" s="305"/>
      <c r="DB67" s="291" t="str">
        <f>IF(DA67="","",IF(IF(OR(P67=[10]Desplegables!$B$5,P67=[10]Desplegables!$B$6,),(Q67-DA67)/(Q67-AB67),IF(P67=[10]Desplegables!$B$3,DA67/U67,DA67/AB67))&lt;0,0%,IF(IF(OR(P67=[10]Desplegables!$B$5,P67=[10]Desplegables!$B$6,),(Q67-DA67)/(Q67-AB67),IF(P67=[10]Desplegables!$B$3,DA67/U67,DA67/AB67))&gt;1,100%,IF(OR(P67=[10]Desplegables!$B$5,P67=[10]Desplegables!$B$6,),(Q67-DA67)/(Q67-AB67),IF(P67=[10]Desplegables!$B$3,DA67/U67,DA67/AB67)))))</f>
        <v/>
      </c>
      <c r="DC67" s="291" t="str">
        <f>IF(DA67="","",IF(IF(OR(P67=[10]Desplegables!$B$5,P67=[10]Desplegables!$B$6,),(Q67-DA67)/(Q67-AB67),IF(P67=[10]Desplegables!$B$3,AVERAGE(DA67,CT67,CF67)/AB67,DA67/AB67))&lt;0,0%,IF(IF(OR(P67=[10]Desplegables!$B$5,P67=[10]Desplegables!$B$6,),(Q67-DA67)/(Q67-AB67),IF(P67=[10]Desplegables!$B$3,AVERAGE(DA67,CT67,CF67)/AB67,DA67/AB67))&gt;1,100%,IF(OR(P67=[10]Desplegables!$B$5,P67=[10]Desplegables!$B$6,),(Q67-DA67)/(Q67-AB67),IF(P67=[10]Desplegables!$B$3,AVERAGE(DA67,CT67,CF67)/AB67,DA67/AB67)))))</f>
        <v/>
      </c>
      <c r="DD67" s="97"/>
      <c r="DE67" s="291" t="str">
        <f t="shared" ref="DE67" si="44">IF(DD67="","",IF(DD67/SUM(BS67,BU67)&gt;1,100%,DD67/SUM(BS67,BU67)))</f>
        <v/>
      </c>
      <c r="DF67" s="305"/>
      <c r="DG67" s="305"/>
      <c r="DH67" s="305"/>
      <c r="DI67" s="291" t="str">
        <f>IF(DH67="","",IF(IF(OR(P67=[10]Desplegables!$B$5,P67=[10]Desplegables!$B$6,),(Q67-DH67)/(Q67-AB67),IF(P67=[10]Desplegables!$B$3,DH67/U67,DH67/AB67))&lt;0,0%,IF(IF(OR(P67=[10]Desplegables!$B$5,P67=[10]Desplegables!$B$6,),(Q67-DH67)/(Q67-AB67),IF(P67=[10]Desplegables!$B$3,DH67/U67,DH67/AB67))&gt;1,100%,IF(OR(P67=[10]Desplegables!$B$5,P67=[10]Desplegables!$B$6,),(Q67-DH67)/(Q67-AB67),IF(P67=[10]Desplegables!$B$3,DH67/U67,DH67/AB67)))))</f>
        <v/>
      </c>
      <c r="DJ67" s="291" t="str">
        <f>IF(DH67="","",IF(IF(OR(P67=[10]Desplegables!$B$5,P67=[10]Desplegables!$B$6,),(Q67-DH67)/(Q67-AB67),IF(P67=[10]Desplegables!$B$3,AVERAGE(DH67,CT67,CF67)/AB67,DH67/AB67))&lt;0,0%,IF(IF(OR(P67=[10]Desplegables!$B$5,P67=[10]Desplegables!$B$6,),(Q67-DH67)/(Q67-AB67),IF(P67=[10]Desplegables!$B$3,AVERAGE(DH67,CT67,CF67)/AB67,DH67/AB67))&gt;1,100%,IF(OR(P67=[10]Desplegables!$B$5,P67=[10]Desplegables!$B$6,),(Q67-DH67)/(Q67-AB67),IF(P67=[10]Desplegables!$B$3,AVERAGE(DH67,CT67,CF67)/AB67,DH67/AB67)))))</f>
        <v/>
      </c>
      <c r="DK67" s="97"/>
      <c r="DL67" s="291" t="str">
        <f t="shared" ref="DL67" si="45">IF(SUM(DD67,DK67)=0,"",IF(SUM(DD67,DK67)/SUM(BS67,BU67)&gt;1,100%,SUM(DD67,DK67)/SUM(BS67,BU67)))</f>
        <v/>
      </c>
      <c r="DM67" s="305"/>
      <c r="DN67" s="305"/>
    </row>
    <row r="68" spans="1:118" ht="178.5">
      <c r="A68" s="19"/>
      <c r="B68" s="535"/>
      <c r="C68" s="527"/>
      <c r="D68" s="218" t="s">
        <v>1379</v>
      </c>
      <c r="E68" s="432">
        <v>1E-3</v>
      </c>
      <c r="F68" s="187" t="s">
        <v>90</v>
      </c>
      <c r="G68" s="136" t="s">
        <v>307</v>
      </c>
      <c r="H68" s="136" t="s">
        <v>308</v>
      </c>
      <c r="I68" s="136" t="s">
        <v>309</v>
      </c>
      <c r="J68" s="385" t="s">
        <v>310</v>
      </c>
      <c r="K68" s="156">
        <v>44713</v>
      </c>
      <c r="L68" s="156">
        <v>47490</v>
      </c>
      <c r="M68" s="136" t="s">
        <v>78</v>
      </c>
      <c r="N68" s="136" t="s">
        <v>1001</v>
      </c>
      <c r="O68" s="316" t="s">
        <v>1212</v>
      </c>
      <c r="P68" s="136" t="s">
        <v>125</v>
      </c>
      <c r="Q68" s="132">
        <v>0</v>
      </c>
      <c r="R68" s="136">
        <v>2021</v>
      </c>
      <c r="S68" s="201">
        <v>0.5</v>
      </c>
      <c r="T68" s="201">
        <v>0.5</v>
      </c>
      <c r="U68" s="201">
        <v>0.5</v>
      </c>
      <c r="V68" s="201">
        <v>0.5</v>
      </c>
      <c r="W68" s="201">
        <v>0.5</v>
      </c>
      <c r="X68" s="201">
        <v>0.5</v>
      </c>
      <c r="Y68" s="201">
        <v>0.5</v>
      </c>
      <c r="Z68" s="201">
        <v>0.5</v>
      </c>
      <c r="AA68" s="201">
        <v>0.5</v>
      </c>
      <c r="AB68" s="201">
        <v>0.5</v>
      </c>
      <c r="AC68" s="334">
        <v>2620</v>
      </c>
      <c r="AD68" s="333">
        <v>2620</v>
      </c>
      <c r="AE68" s="333">
        <v>2698</v>
      </c>
      <c r="AF68" s="333">
        <v>2779</v>
      </c>
      <c r="AG68" s="333">
        <v>2863</v>
      </c>
      <c r="AH68" s="333">
        <v>2949</v>
      </c>
      <c r="AI68" s="333">
        <v>3037</v>
      </c>
      <c r="AJ68" s="333">
        <v>3128</v>
      </c>
      <c r="AK68" s="333">
        <v>3222</v>
      </c>
      <c r="AL68" s="454">
        <f t="shared" si="8"/>
        <v>25916</v>
      </c>
      <c r="AM68" s="279">
        <f>+AC68</f>
        <v>2620</v>
      </c>
      <c r="AN68" s="279" t="s">
        <v>80</v>
      </c>
      <c r="AO68" s="279"/>
      <c r="AP68" s="279"/>
      <c r="AQ68" s="279">
        <v>2620</v>
      </c>
      <c r="AR68" s="279" t="s">
        <v>80</v>
      </c>
      <c r="AS68" s="279"/>
      <c r="AT68" s="279"/>
      <c r="AU68" s="279">
        <f>+AE68</f>
        <v>2698</v>
      </c>
      <c r="AV68" s="279" t="s">
        <v>80</v>
      </c>
      <c r="AW68" s="279"/>
      <c r="AX68" s="279"/>
      <c r="AY68" s="279">
        <f>+AF68</f>
        <v>2779</v>
      </c>
      <c r="AZ68" s="279" t="s">
        <v>80</v>
      </c>
      <c r="BA68" s="279"/>
      <c r="BB68" s="279"/>
      <c r="BC68" s="279">
        <f>+AG68</f>
        <v>2863</v>
      </c>
      <c r="BD68" s="279" t="s">
        <v>80</v>
      </c>
      <c r="BE68" s="279"/>
      <c r="BF68" s="279"/>
      <c r="BG68" s="279">
        <f>+AH68</f>
        <v>2949</v>
      </c>
      <c r="BH68" s="279" t="s">
        <v>80</v>
      </c>
      <c r="BI68" s="279"/>
      <c r="BJ68" s="279"/>
      <c r="BK68" s="279">
        <f>+AI68</f>
        <v>3037</v>
      </c>
      <c r="BL68" s="279" t="s">
        <v>80</v>
      </c>
      <c r="BM68" s="279"/>
      <c r="BN68" s="279"/>
      <c r="BO68" s="279">
        <f>+AJ68</f>
        <v>3128</v>
      </c>
      <c r="BP68" s="279" t="s">
        <v>80</v>
      </c>
      <c r="BQ68" s="279"/>
      <c r="BR68" s="279"/>
      <c r="BS68" s="279">
        <f>+AK68</f>
        <v>3222</v>
      </c>
      <c r="BT68" s="279" t="s">
        <v>80</v>
      </c>
      <c r="BU68" s="279"/>
      <c r="BV68" s="279"/>
      <c r="BW68" s="97">
        <f t="shared" si="7"/>
        <v>25916</v>
      </c>
      <c r="BX68" s="384"/>
      <c r="BY68" s="305"/>
      <c r="BZ68" s="291"/>
      <c r="CA68" s="291"/>
      <c r="CB68" s="97"/>
      <c r="CC68" s="291"/>
      <c r="CD68" s="305"/>
      <c r="CE68" s="305"/>
      <c r="CF68" s="305"/>
      <c r="CG68" s="291"/>
      <c r="CH68" s="291"/>
      <c r="CI68" s="97"/>
      <c r="CJ68" s="291"/>
      <c r="CK68" s="305"/>
      <c r="CL68" s="305"/>
      <c r="CM68" s="305"/>
      <c r="CN68" s="291"/>
      <c r="CO68" s="291"/>
      <c r="CP68" s="97"/>
      <c r="CQ68" s="291"/>
      <c r="CR68" s="305"/>
      <c r="CS68" s="305"/>
      <c r="CT68" s="305"/>
      <c r="CU68" s="291"/>
      <c r="CV68" s="291"/>
      <c r="CW68" s="97"/>
      <c r="CX68" s="291"/>
      <c r="CY68" s="305"/>
      <c r="CZ68" s="305"/>
      <c r="DA68" s="305"/>
      <c r="DB68" s="291"/>
      <c r="DC68" s="291"/>
      <c r="DD68" s="97"/>
      <c r="DE68" s="291"/>
      <c r="DF68" s="305"/>
      <c r="DG68" s="305"/>
      <c r="DH68" s="305"/>
      <c r="DI68" s="291"/>
      <c r="DJ68" s="291"/>
      <c r="DK68" s="97"/>
      <c r="DL68" s="291"/>
      <c r="DM68" s="305"/>
      <c r="DN68" s="305"/>
    </row>
    <row r="69" spans="1:118" s="376" customFormat="1" ht="25.5">
      <c r="B69" s="535"/>
      <c r="C69" s="527"/>
      <c r="D69" s="366" t="s">
        <v>1380</v>
      </c>
      <c r="E69" s="432">
        <v>5.0000000000000001E-3</v>
      </c>
      <c r="F69" s="438" t="s">
        <v>90</v>
      </c>
      <c r="G69" s="316" t="s">
        <v>313</v>
      </c>
      <c r="H69" s="316" t="s">
        <v>314</v>
      </c>
      <c r="I69" s="316" t="s">
        <v>315</v>
      </c>
      <c r="J69" s="385" t="s">
        <v>316</v>
      </c>
      <c r="K69" s="362">
        <v>44713</v>
      </c>
      <c r="L69" s="156">
        <v>47848</v>
      </c>
      <c r="M69" s="316" t="s">
        <v>97</v>
      </c>
      <c r="N69" s="316" t="s">
        <v>317</v>
      </c>
      <c r="O69" s="316" t="s">
        <v>318</v>
      </c>
      <c r="P69" s="316" t="s">
        <v>125</v>
      </c>
      <c r="Q69" s="322">
        <v>0.25</v>
      </c>
      <c r="R69" s="338">
        <v>2021</v>
      </c>
      <c r="S69" s="322">
        <v>0.3</v>
      </c>
      <c r="T69" s="322">
        <v>0.3</v>
      </c>
      <c r="U69" s="322">
        <v>0.3</v>
      </c>
      <c r="V69" s="322">
        <v>0.3</v>
      </c>
      <c r="W69" s="322">
        <v>0.3</v>
      </c>
      <c r="X69" s="322">
        <v>0.3</v>
      </c>
      <c r="Y69" s="322">
        <v>0.3</v>
      </c>
      <c r="Z69" s="322">
        <v>0.3</v>
      </c>
      <c r="AA69" s="322">
        <v>0.3</v>
      </c>
      <c r="AB69" s="322">
        <v>0.3</v>
      </c>
      <c r="AC69" s="328">
        <v>900</v>
      </c>
      <c r="AD69" s="328">
        <v>927</v>
      </c>
      <c r="AE69" s="328">
        <v>954.81000000000006</v>
      </c>
      <c r="AF69" s="328">
        <v>983.4543000000001</v>
      </c>
      <c r="AG69" s="328">
        <v>1012.9579290000001</v>
      </c>
      <c r="AH69" s="328">
        <v>1043.3466668700003</v>
      </c>
      <c r="AI69" s="328">
        <v>1074.6470668761003</v>
      </c>
      <c r="AJ69" s="328">
        <v>1106.8864788823835</v>
      </c>
      <c r="AK69" s="328">
        <v>1140.093073248855</v>
      </c>
      <c r="AL69" s="387">
        <f t="shared" si="8"/>
        <v>9143.1955148773377</v>
      </c>
      <c r="AM69" s="279">
        <v>900</v>
      </c>
      <c r="AN69" s="279" t="s">
        <v>80</v>
      </c>
      <c r="AO69" s="279"/>
      <c r="AP69" s="279"/>
      <c r="AQ69" s="279">
        <v>927</v>
      </c>
      <c r="AR69" s="279" t="s">
        <v>80</v>
      </c>
      <c r="AS69" s="279"/>
      <c r="AT69" s="279"/>
      <c r="AU69" s="279">
        <v>954.81000000000006</v>
      </c>
      <c r="AV69" s="279" t="s">
        <v>80</v>
      </c>
      <c r="AW69" s="279"/>
      <c r="AX69" s="279"/>
      <c r="AY69" s="279">
        <v>983.4543000000001</v>
      </c>
      <c r="AZ69" s="279" t="s">
        <v>80</v>
      </c>
      <c r="BA69" s="279"/>
      <c r="BB69" s="279"/>
      <c r="BC69" s="279">
        <v>1012.9579290000001</v>
      </c>
      <c r="BD69" s="279" t="s">
        <v>80</v>
      </c>
      <c r="BE69" s="279"/>
      <c r="BF69" s="279"/>
      <c r="BG69" s="279">
        <v>1043.3466668700003</v>
      </c>
      <c r="BH69" s="279" t="s">
        <v>80</v>
      </c>
      <c r="BI69" s="279"/>
      <c r="BJ69" s="279"/>
      <c r="BK69" s="279">
        <v>1074.6470668761003</v>
      </c>
      <c r="BL69" s="279" t="s">
        <v>80</v>
      </c>
      <c r="BM69" s="279"/>
      <c r="BN69" s="279"/>
      <c r="BO69" s="279">
        <v>1106.8864788823835</v>
      </c>
      <c r="BP69" s="279" t="s">
        <v>80</v>
      </c>
      <c r="BQ69" s="279"/>
      <c r="BR69" s="279"/>
      <c r="BS69" s="279">
        <v>1140.093073248855</v>
      </c>
      <c r="BT69" s="279" t="s">
        <v>80</v>
      </c>
      <c r="BU69" s="279"/>
      <c r="BV69" s="279"/>
      <c r="BW69" s="97">
        <f t="shared" si="7"/>
        <v>9143.1955148773377</v>
      </c>
      <c r="BX69" s="384"/>
      <c r="BY69" s="326"/>
      <c r="BZ69" s="325"/>
      <c r="CA69" s="325"/>
      <c r="CB69" s="97"/>
      <c r="CC69" s="325"/>
      <c r="CD69" s="326"/>
      <c r="CE69" s="326"/>
      <c r="CF69" s="326"/>
      <c r="CG69" s="325"/>
      <c r="CH69" s="325"/>
      <c r="CI69" s="97"/>
      <c r="CJ69" s="325"/>
      <c r="CK69" s="326"/>
      <c r="CL69" s="326"/>
      <c r="CM69" s="326"/>
      <c r="CN69" s="325"/>
      <c r="CO69" s="325"/>
      <c r="CP69" s="97"/>
      <c r="CQ69" s="325"/>
      <c r="CR69" s="326"/>
      <c r="CS69" s="326"/>
      <c r="CT69" s="326"/>
      <c r="CU69" s="325"/>
      <c r="CV69" s="325"/>
      <c r="CW69" s="97"/>
      <c r="CX69" s="325"/>
      <c r="CY69" s="326"/>
      <c r="CZ69" s="326"/>
      <c r="DA69" s="326"/>
      <c r="DB69" s="325"/>
      <c r="DC69" s="325"/>
      <c r="DD69" s="97"/>
      <c r="DE69" s="325"/>
      <c r="DF69" s="326"/>
      <c r="DG69" s="326"/>
      <c r="DH69" s="326"/>
      <c r="DI69" s="325"/>
      <c r="DJ69" s="325"/>
      <c r="DK69" s="97"/>
      <c r="DL69" s="325"/>
      <c r="DM69" s="326"/>
      <c r="DN69" s="326"/>
    </row>
    <row r="70" spans="1:118" s="376" customFormat="1" ht="25.5">
      <c r="B70" s="535"/>
      <c r="C70" s="527"/>
      <c r="D70" s="377" t="s">
        <v>1381</v>
      </c>
      <c r="E70" s="323">
        <v>2E-3</v>
      </c>
      <c r="F70" s="316" t="s">
        <v>90</v>
      </c>
      <c r="G70" s="316" t="s">
        <v>313</v>
      </c>
      <c r="H70" s="316" t="s">
        <v>314</v>
      </c>
      <c r="I70" s="316" t="s">
        <v>315</v>
      </c>
      <c r="J70" s="385" t="s">
        <v>316</v>
      </c>
      <c r="K70" s="362">
        <v>44713</v>
      </c>
      <c r="L70" s="156">
        <v>47848</v>
      </c>
      <c r="M70" s="316" t="s">
        <v>97</v>
      </c>
      <c r="N70" s="377" t="s">
        <v>319</v>
      </c>
      <c r="O70" s="377" t="s">
        <v>320</v>
      </c>
      <c r="P70" s="316" t="s">
        <v>125</v>
      </c>
      <c r="Q70" s="322">
        <v>0.18</v>
      </c>
      <c r="R70" s="338">
        <v>2021</v>
      </c>
      <c r="S70" s="322">
        <v>0.2</v>
      </c>
      <c r="T70" s="322">
        <v>0.2</v>
      </c>
      <c r="U70" s="322">
        <v>0.21</v>
      </c>
      <c r="V70" s="322">
        <v>0.21</v>
      </c>
      <c r="W70" s="322">
        <v>0.22</v>
      </c>
      <c r="X70" s="322">
        <v>0.22</v>
      </c>
      <c r="Y70" s="322">
        <v>0.23</v>
      </c>
      <c r="Z70" s="322">
        <v>0.23</v>
      </c>
      <c r="AA70" s="322">
        <v>0.23</v>
      </c>
      <c r="AB70" s="322">
        <f>+AVERAGE(S70:Z70)</f>
        <v>0.215</v>
      </c>
      <c r="AC70" s="328">
        <v>110</v>
      </c>
      <c r="AD70" s="328">
        <v>113.3</v>
      </c>
      <c r="AE70" s="328">
        <v>116.7</v>
      </c>
      <c r="AF70" s="328">
        <v>120.2</v>
      </c>
      <c r="AG70" s="328">
        <v>123.81</v>
      </c>
      <c r="AH70" s="328">
        <v>127.52</v>
      </c>
      <c r="AI70" s="328">
        <v>131.35</v>
      </c>
      <c r="AJ70" s="328">
        <v>135.29</v>
      </c>
      <c r="AK70" s="328">
        <v>139.34</v>
      </c>
      <c r="AL70" s="387">
        <f t="shared" ref="AL70:AL130" si="46">IF(SUM(AC70:AK70)=0,"",SUM(AC70:AK70))</f>
        <v>1117.51</v>
      </c>
      <c r="AM70" s="378">
        <f>AC70</f>
        <v>110</v>
      </c>
      <c r="AN70" s="339" t="s">
        <v>80</v>
      </c>
      <c r="AO70" s="316"/>
      <c r="AP70" s="339"/>
      <c r="AQ70" s="378">
        <f>AD70</f>
        <v>113.3</v>
      </c>
      <c r="AR70" s="339" t="s">
        <v>80</v>
      </c>
      <c r="AS70" s="316"/>
      <c r="AT70" s="339"/>
      <c r="AU70" s="378">
        <f>AE70</f>
        <v>116.7</v>
      </c>
      <c r="AV70" s="339" t="s">
        <v>80</v>
      </c>
      <c r="AW70" s="316"/>
      <c r="AX70" s="339"/>
      <c r="AY70" s="378">
        <f>AF70</f>
        <v>120.2</v>
      </c>
      <c r="AZ70" s="339" t="s">
        <v>80</v>
      </c>
      <c r="BA70" s="316"/>
      <c r="BB70" s="339"/>
      <c r="BC70" s="378">
        <f>AG70</f>
        <v>123.81</v>
      </c>
      <c r="BD70" s="339" t="s">
        <v>80</v>
      </c>
      <c r="BE70" s="316"/>
      <c r="BF70" s="339"/>
      <c r="BG70" s="378">
        <f>AH70</f>
        <v>127.52</v>
      </c>
      <c r="BH70" s="339" t="s">
        <v>80</v>
      </c>
      <c r="BI70" s="316"/>
      <c r="BJ70" s="339"/>
      <c r="BK70" s="378">
        <f>AI70</f>
        <v>131.35</v>
      </c>
      <c r="BL70" s="339" t="s">
        <v>80</v>
      </c>
      <c r="BM70" s="316"/>
      <c r="BN70" s="339"/>
      <c r="BO70" s="378">
        <f>AJ70</f>
        <v>135.29</v>
      </c>
      <c r="BP70" s="339" t="s">
        <v>80</v>
      </c>
      <c r="BQ70" s="316"/>
      <c r="BR70" s="289"/>
      <c r="BS70" s="379">
        <f>AK70</f>
        <v>139.34</v>
      </c>
      <c r="BT70" s="339" t="s">
        <v>80</v>
      </c>
      <c r="BU70" s="380"/>
      <c r="BV70" s="338"/>
      <c r="BW70" s="97">
        <f t="shared" si="7"/>
        <v>1117.51</v>
      </c>
      <c r="BX70" s="384"/>
      <c r="BY70" s="326"/>
      <c r="BZ70" s="325"/>
      <c r="CA70" s="325"/>
      <c r="CB70" s="97"/>
      <c r="CC70" s="325"/>
      <c r="CD70" s="326"/>
      <c r="CE70" s="326"/>
      <c r="CF70" s="326"/>
      <c r="CG70" s="325"/>
      <c r="CH70" s="325"/>
      <c r="CI70" s="97"/>
      <c r="CJ70" s="325"/>
      <c r="CK70" s="326"/>
      <c r="CL70" s="326"/>
      <c r="CM70" s="326"/>
      <c r="CN70" s="325"/>
      <c r="CO70" s="325"/>
      <c r="CP70" s="97"/>
      <c r="CQ70" s="325"/>
      <c r="CR70" s="326"/>
      <c r="CS70" s="326"/>
      <c r="CT70" s="326"/>
      <c r="CU70" s="325"/>
      <c r="CV70" s="325"/>
      <c r="CW70" s="97"/>
      <c r="CX70" s="325"/>
      <c r="CY70" s="326"/>
      <c r="CZ70" s="326"/>
      <c r="DA70" s="326"/>
      <c r="DB70" s="325"/>
      <c r="DC70" s="325"/>
      <c r="DD70" s="97"/>
      <c r="DE70" s="325"/>
      <c r="DF70" s="326"/>
      <c r="DG70" s="326"/>
      <c r="DH70" s="326"/>
      <c r="DI70" s="325"/>
      <c r="DJ70" s="325"/>
      <c r="DK70" s="97"/>
      <c r="DL70" s="325"/>
      <c r="DM70" s="326"/>
      <c r="DN70" s="326"/>
    </row>
    <row r="71" spans="1:118" ht="25.5">
      <c r="A71" s="19"/>
      <c r="B71" s="535"/>
      <c r="C71" s="527"/>
      <c r="D71" s="218" t="s">
        <v>1382</v>
      </c>
      <c r="E71" s="432">
        <v>1E-3</v>
      </c>
      <c r="F71" s="187" t="s">
        <v>90</v>
      </c>
      <c r="G71" s="136" t="s">
        <v>74</v>
      </c>
      <c r="H71" s="136" t="s">
        <v>75</v>
      </c>
      <c r="I71" s="136" t="s">
        <v>76</v>
      </c>
      <c r="J71" s="385" t="s">
        <v>77</v>
      </c>
      <c r="K71" s="156">
        <v>44713</v>
      </c>
      <c r="L71" s="156">
        <v>47848</v>
      </c>
      <c r="M71" s="136" t="s">
        <v>78</v>
      </c>
      <c r="N71" s="136" t="s">
        <v>1002</v>
      </c>
      <c r="O71" s="193" t="s">
        <v>1188</v>
      </c>
      <c r="P71" s="315" t="s">
        <v>125</v>
      </c>
      <c r="Q71" s="196">
        <v>1</v>
      </c>
      <c r="R71" s="127">
        <v>2021</v>
      </c>
      <c r="S71" s="196">
        <v>1</v>
      </c>
      <c r="T71" s="196">
        <v>1</v>
      </c>
      <c r="U71" s="196">
        <v>1</v>
      </c>
      <c r="V71" s="196">
        <v>1</v>
      </c>
      <c r="W71" s="196">
        <v>1</v>
      </c>
      <c r="X71" s="196">
        <v>1</v>
      </c>
      <c r="Y71" s="196">
        <v>1</v>
      </c>
      <c r="Z71" s="196">
        <v>1</v>
      </c>
      <c r="AA71" s="196">
        <v>1</v>
      </c>
      <c r="AB71" s="196">
        <v>1</v>
      </c>
      <c r="AC71" s="328">
        <v>50</v>
      </c>
      <c r="AD71" s="328">
        <v>50</v>
      </c>
      <c r="AE71" s="328">
        <v>50</v>
      </c>
      <c r="AF71" s="328">
        <v>50</v>
      </c>
      <c r="AG71" s="328">
        <v>50</v>
      </c>
      <c r="AH71" s="328">
        <v>50</v>
      </c>
      <c r="AI71" s="328">
        <v>50</v>
      </c>
      <c r="AJ71" s="328">
        <v>50</v>
      </c>
      <c r="AK71" s="328">
        <v>50</v>
      </c>
      <c r="AL71" s="454">
        <f t="shared" si="46"/>
        <v>450</v>
      </c>
      <c r="AM71" s="190">
        <v>50</v>
      </c>
      <c r="AN71" s="127" t="s">
        <v>80</v>
      </c>
      <c r="AO71" s="190"/>
      <c r="AP71" s="194"/>
      <c r="AQ71" s="190">
        <v>50</v>
      </c>
      <c r="AR71" s="127" t="s">
        <v>80</v>
      </c>
      <c r="AS71" s="190"/>
      <c r="AT71" s="194"/>
      <c r="AU71" s="190">
        <v>50</v>
      </c>
      <c r="AV71" s="127" t="s">
        <v>80</v>
      </c>
      <c r="AW71" s="321"/>
      <c r="AX71" s="194"/>
      <c r="AY71" s="190">
        <v>50</v>
      </c>
      <c r="AZ71" s="127" t="s">
        <v>80</v>
      </c>
      <c r="BA71" s="321"/>
      <c r="BB71" s="194"/>
      <c r="BC71" s="190">
        <v>50</v>
      </c>
      <c r="BD71" s="127" t="s">
        <v>80</v>
      </c>
      <c r="BE71" s="321"/>
      <c r="BF71" s="194"/>
      <c r="BG71" s="190">
        <v>50</v>
      </c>
      <c r="BH71" s="127" t="s">
        <v>80</v>
      </c>
      <c r="BI71" s="321"/>
      <c r="BJ71" s="194"/>
      <c r="BK71" s="190">
        <v>50</v>
      </c>
      <c r="BL71" s="127" t="s">
        <v>80</v>
      </c>
      <c r="BM71" s="321"/>
      <c r="BN71" s="194"/>
      <c r="BO71" s="190">
        <v>50</v>
      </c>
      <c r="BP71" s="127" t="s">
        <v>80</v>
      </c>
      <c r="BQ71" s="321"/>
      <c r="BR71" s="194"/>
      <c r="BS71" s="190">
        <v>50</v>
      </c>
      <c r="BT71" s="127" t="s">
        <v>80</v>
      </c>
      <c r="BU71" s="190"/>
      <c r="BV71" s="194"/>
      <c r="BW71" s="97">
        <f t="shared" si="7"/>
        <v>450</v>
      </c>
      <c r="BX71" s="384"/>
      <c r="BY71" s="305"/>
      <c r="BZ71" s="291"/>
      <c r="CA71" s="291"/>
      <c r="CB71" s="97"/>
      <c r="CC71" s="291"/>
      <c r="CD71" s="305"/>
      <c r="CE71" s="305"/>
      <c r="CF71" s="305"/>
      <c r="CG71" s="291"/>
      <c r="CH71" s="291"/>
      <c r="CI71" s="97"/>
      <c r="CJ71" s="291"/>
      <c r="CK71" s="305"/>
      <c r="CL71" s="305"/>
      <c r="CM71" s="305"/>
      <c r="CN71" s="291"/>
      <c r="CO71" s="291"/>
      <c r="CP71" s="97"/>
      <c r="CQ71" s="291"/>
      <c r="CR71" s="305"/>
      <c r="CS71" s="305"/>
      <c r="CT71" s="305"/>
      <c r="CU71" s="291"/>
      <c r="CV71" s="291"/>
      <c r="CW71" s="97"/>
      <c r="CX71" s="291"/>
      <c r="CY71" s="305"/>
      <c r="CZ71" s="305"/>
      <c r="DA71" s="305"/>
      <c r="DB71" s="291"/>
      <c r="DC71" s="291"/>
      <c r="DD71" s="97"/>
      <c r="DE71" s="291"/>
      <c r="DF71" s="305"/>
      <c r="DG71" s="305"/>
      <c r="DH71" s="305"/>
      <c r="DI71" s="291"/>
      <c r="DJ71" s="291"/>
      <c r="DK71" s="97"/>
      <c r="DL71" s="291"/>
      <c r="DM71" s="305"/>
      <c r="DN71" s="305"/>
    </row>
    <row r="72" spans="1:118" s="376" customFormat="1" ht="38.25">
      <c r="B72" s="535"/>
      <c r="C72" s="527"/>
      <c r="D72" s="366" t="s">
        <v>1383</v>
      </c>
      <c r="E72" s="432">
        <v>2E-3</v>
      </c>
      <c r="F72" s="438" t="s">
        <v>90</v>
      </c>
      <c r="G72" s="316" t="s">
        <v>313</v>
      </c>
      <c r="H72" s="316" t="s">
        <v>321</v>
      </c>
      <c r="I72" s="316" t="s">
        <v>322</v>
      </c>
      <c r="J72" s="385" t="s">
        <v>323</v>
      </c>
      <c r="K72" s="362">
        <v>44713</v>
      </c>
      <c r="L72" s="362">
        <v>47848</v>
      </c>
      <c r="M72" s="316" t="s">
        <v>97</v>
      </c>
      <c r="N72" s="316" t="s">
        <v>1213</v>
      </c>
      <c r="O72" s="316" t="s">
        <v>1214</v>
      </c>
      <c r="P72" s="316" t="s">
        <v>125</v>
      </c>
      <c r="Q72" s="235">
        <v>0</v>
      </c>
      <c r="R72" s="338">
        <v>2021</v>
      </c>
      <c r="S72" s="322">
        <v>0.3</v>
      </c>
      <c r="T72" s="322">
        <v>0.3</v>
      </c>
      <c r="U72" s="322">
        <v>0.3</v>
      </c>
      <c r="V72" s="322">
        <v>0.3</v>
      </c>
      <c r="W72" s="322">
        <v>0.3</v>
      </c>
      <c r="X72" s="322">
        <v>0.3</v>
      </c>
      <c r="Y72" s="322">
        <v>0.3</v>
      </c>
      <c r="Z72" s="322">
        <v>0.3</v>
      </c>
      <c r="AA72" s="322">
        <v>0.3</v>
      </c>
      <c r="AB72" s="322">
        <f>+AVERAGE(S72:Z72)</f>
        <v>0.3</v>
      </c>
      <c r="AC72" s="447">
        <v>9933.3739999999998</v>
      </c>
      <c r="AD72" s="447">
        <v>57481.534</v>
      </c>
      <c r="AE72" s="447">
        <v>62770.286999999997</v>
      </c>
      <c r="AF72" s="447">
        <v>68544.308000000005</v>
      </c>
      <c r="AG72" s="447">
        <v>74850.873000000007</v>
      </c>
      <c r="AH72" s="447">
        <v>81737.305999999997</v>
      </c>
      <c r="AI72" s="447">
        <v>89526.820999999996</v>
      </c>
      <c r="AJ72" s="447">
        <v>97468.118000000002</v>
      </c>
      <c r="AK72" s="447">
        <v>106435.929</v>
      </c>
      <c r="AL72" s="386">
        <f>SUBTOTAL(9,AC72:AK72)</f>
        <v>648748.54999999993</v>
      </c>
      <c r="AM72" s="457">
        <f>AC72</f>
        <v>9933.3739999999998</v>
      </c>
      <c r="AN72" s="339" t="s">
        <v>80</v>
      </c>
      <c r="AO72" s="316"/>
      <c r="AP72" s="339"/>
      <c r="AQ72" s="378">
        <f>AD72</f>
        <v>57481.534</v>
      </c>
      <c r="AR72" s="339" t="s">
        <v>80</v>
      </c>
      <c r="AS72" s="316"/>
      <c r="AT72" s="339"/>
      <c r="AU72" s="378">
        <f>AE72</f>
        <v>62770.286999999997</v>
      </c>
      <c r="AV72" s="339" t="s">
        <v>80</v>
      </c>
      <c r="AW72" s="316"/>
      <c r="AX72" s="339"/>
      <c r="AY72" s="378">
        <f>AF72</f>
        <v>68544.308000000005</v>
      </c>
      <c r="AZ72" s="339" t="s">
        <v>80</v>
      </c>
      <c r="BA72" s="316"/>
      <c r="BB72" s="339"/>
      <c r="BC72" s="378">
        <f>AG72</f>
        <v>74850.873000000007</v>
      </c>
      <c r="BD72" s="339" t="s">
        <v>80</v>
      </c>
      <c r="BE72" s="316"/>
      <c r="BF72" s="339"/>
      <c r="BG72" s="378">
        <f>AH72</f>
        <v>81737.305999999997</v>
      </c>
      <c r="BH72" s="339" t="s">
        <v>80</v>
      </c>
      <c r="BI72" s="316"/>
      <c r="BJ72" s="339"/>
      <c r="BK72" s="378">
        <f>AI72</f>
        <v>89526.820999999996</v>
      </c>
      <c r="BL72" s="339" t="s">
        <v>80</v>
      </c>
      <c r="BM72" s="316"/>
      <c r="BN72" s="339"/>
      <c r="BO72" s="378">
        <f>AJ72</f>
        <v>97468.118000000002</v>
      </c>
      <c r="BP72" s="339" t="s">
        <v>80</v>
      </c>
      <c r="BQ72" s="316"/>
      <c r="BR72" s="289"/>
      <c r="BS72" s="448">
        <f>AK72</f>
        <v>106435.929</v>
      </c>
      <c r="BT72" s="339" t="s">
        <v>80</v>
      </c>
      <c r="BU72" s="338"/>
      <c r="BV72" s="338"/>
      <c r="BW72" s="97">
        <f t="shared" si="7"/>
        <v>648748.54999999993</v>
      </c>
      <c r="BX72" s="384"/>
      <c r="BY72" s="326"/>
      <c r="BZ72" s="325"/>
      <c r="CA72" s="325"/>
      <c r="CB72" s="97"/>
      <c r="CC72" s="325"/>
      <c r="CD72" s="326"/>
      <c r="CE72" s="326"/>
      <c r="CF72" s="326"/>
      <c r="CG72" s="325"/>
      <c r="CH72" s="325"/>
      <c r="CI72" s="97"/>
      <c r="CJ72" s="325"/>
      <c r="CK72" s="326"/>
      <c r="CL72" s="326"/>
      <c r="CM72" s="326"/>
      <c r="CN72" s="325"/>
      <c r="CO72" s="325"/>
      <c r="CP72" s="97"/>
      <c r="CQ72" s="325"/>
      <c r="CR72" s="326"/>
      <c r="CS72" s="326"/>
      <c r="CT72" s="326"/>
      <c r="CU72" s="325"/>
      <c r="CV72" s="325"/>
      <c r="CW72" s="97"/>
      <c r="CX72" s="325"/>
      <c r="CY72" s="326"/>
      <c r="CZ72" s="326"/>
      <c r="DA72" s="326"/>
      <c r="DB72" s="325"/>
      <c r="DC72" s="325"/>
      <c r="DD72" s="97"/>
      <c r="DE72" s="325"/>
      <c r="DF72" s="326"/>
      <c r="DG72" s="326"/>
      <c r="DH72" s="326"/>
      <c r="DI72" s="325"/>
      <c r="DJ72" s="325"/>
      <c r="DK72" s="97"/>
      <c r="DL72" s="325"/>
      <c r="DM72" s="326"/>
      <c r="DN72" s="326"/>
    </row>
    <row r="73" spans="1:118" s="376" customFormat="1" ht="25.5">
      <c r="B73" s="535"/>
      <c r="C73" s="527"/>
      <c r="D73" s="377" t="s">
        <v>1384</v>
      </c>
      <c r="E73" s="432">
        <v>1E-3</v>
      </c>
      <c r="F73" s="438" t="s">
        <v>90</v>
      </c>
      <c r="G73" s="316" t="s">
        <v>324</v>
      </c>
      <c r="H73" s="316" t="s">
        <v>325</v>
      </c>
      <c r="I73" s="316" t="s">
        <v>326</v>
      </c>
      <c r="J73" s="385" t="s">
        <v>327</v>
      </c>
      <c r="K73" s="362">
        <v>44713</v>
      </c>
      <c r="L73" s="362">
        <v>45992</v>
      </c>
      <c r="M73" s="316" t="s">
        <v>78</v>
      </c>
      <c r="N73" s="316" t="s">
        <v>1215</v>
      </c>
      <c r="O73" s="316" t="s">
        <v>1216</v>
      </c>
      <c r="P73" s="316" t="s">
        <v>87</v>
      </c>
      <c r="Q73" s="338">
        <v>0</v>
      </c>
      <c r="R73" s="338">
        <v>2022</v>
      </c>
      <c r="S73" s="386">
        <v>100</v>
      </c>
      <c r="T73" s="386">
        <f>200+S73</f>
        <v>300</v>
      </c>
      <c r="U73" s="386">
        <f>200+T73</f>
        <v>500</v>
      </c>
      <c r="V73" s="386">
        <f>200+U73</f>
        <v>700</v>
      </c>
      <c r="W73" s="386"/>
      <c r="X73" s="386"/>
      <c r="Y73" s="386"/>
      <c r="Z73" s="386"/>
      <c r="AA73" s="386"/>
      <c r="AB73" s="386">
        <f>+V73</f>
        <v>700</v>
      </c>
      <c r="AC73" s="333">
        <v>150</v>
      </c>
      <c r="AD73" s="328">
        <v>200</v>
      </c>
      <c r="AE73" s="328">
        <v>200</v>
      </c>
      <c r="AF73" s="328">
        <v>300</v>
      </c>
      <c r="AG73" s="328"/>
      <c r="AH73" s="328"/>
      <c r="AI73" s="328"/>
      <c r="AJ73" s="328"/>
      <c r="AK73" s="328"/>
      <c r="AL73" s="387">
        <f t="shared" si="46"/>
        <v>850</v>
      </c>
      <c r="AM73" s="381">
        <v>150</v>
      </c>
      <c r="AN73" s="381" t="s">
        <v>328</v>
      </c>
      <c r="AO73" s="339"/>
      <c r="AP73" s="316"/>
      <c r="AQ73" s="339">
        <v>200</v>
      </c>
      <c r="AR73" s="316" t="s">
        <v>328</v>
      </c>
      <c r="AS73" s="339"/>
      <c r="AT73" s="316"/>
      <c r="AU73" s="339">
        <v>200</v>
      </c>
      <c r="AV73" s="316" t="s">
        <v>328</v>
      </c>
      <c r="AW73" s="339"/>
      <c r="AX73" s="316"/>
      <c r="AY73" s="339">
        <v>300</v>
      </c>
      <c r="AZ73" s="316" t="s">
        <v>328</v>
      </c>
      <c r="BA73" s="339"/>
      <c r="BB73" s="316"/>
      <c r="BC73" s="339"/>
      <c r="BD73" s="316"/>
      <c r="BE73" s="339"/>
      <c r="BF73" s="316"/>
      <c r="BG73" s="339"/>
      <c r="BH73" s="316"/>
      <c r="BI73" s="339"/>
      <c r="BJ73" s="316"/>
      <c r="BK73" s="339"/>
      <c r="BL73" s="316"/>
      <c r="BM73" s="339"/>
      <c r="BN73" s="316"/>
      <c r="BO73" s="339"/>
      <c r="BP73" s="316"/>
      <c r="BQ73" s="339"/>
      <c r="BR73" s="339"/>
      <c r="BS73" s="316"/>
      <c r="BT73" s="339"/>
      <c r="BU73" s="316"/>
      <c r="BV73" s="194"/>
      <c r="BW73" s="97">
        <f t="shared" si="7"/>
        <v>850</v>
      </c>
      <c r="BX73" s="384"/>
      <c r="BY73" s="326"/>
      <c r="BZ73" s="325"/>
      <c r="CA73" s="325"/>
      <c r="CB73" s="97"/>
      <c r="CC73" s="325"/>
      <c r="CD73" s="326"/>
      <c r="CE73" s="326"/>
      <c r="CF73" s="326"/>
      <c r="CG73" s="325"/>
      <c r="CH73" s="325"/>
      <c r="CI73" s="97"/>
      <c r="CJ73" s="325"/>
      <c r="CK73" s="326"/>
      <c r="CL73" s="326"/>
      <c r="CM73" s="326"/>
      <c r="CN73" s="325"/>
      <c r="CO73" s="325"/>
      <c r="CP73" s="97"/>
      <c r="CQ73" s="325"/>
      <c r="CR73" s="326"/>
      <c r="CS73" s="326"/>
      <c r="CT73" s="326"/>
      <c r="CU73" s="325"/>
      <c r="CV73" s="325"/>
      <c r="CW73" s="97"/>
      <c r="CX73" s="325"/>
      <c r="CY73" s="326"/>
      <c r="CZ73" s="326"/>
      <c r="DA73" s="326"/>
      <c r="DB73" s="325"/>
      <c r="DC73" s="325"/>
      <c r="DD73" s="97"/>
      <c r="DE73" s="325"/>
      <c r="DF73" s="326"/>
      <c r="DG73" s="326"/>
      <c r="DH73" s="326"/>
      <c r="DI73" s="325"/>
      <c r="DJ73" s="325"/>
      <c r="DK73" s="97"/>
      <c r="DL73" s="325"/>
      <c r="DM73" s="326"/>
      <c r="DN73" s="326"/>
    </row>
    <row r="74" spans="1:118" s="376" customFormat="1" ht="38.25">
      <c r="B74" s="535"/>
      <c r="C74" s="527"/>
      <c r="D74" s="366" t="s">
        <v>1385</v>
      </c>
      <c r="E74" s="432">
        <v>5.0000000000000001E-3</v>
      </c>
      <c r="F74" s="438" t="s">
        <v>90</v>
      </c>
      <c r="G74" s="316" t="s">
        <v>313</v>
      </c>
      <c r="H74" s="316" t="s">
        <v>329</v>
      </c>
      <c r="I74" s="338" t="s">
        <v>330</v>
      </c>
      <c r="J74" s="385" t="s">
        <v>331</v>
      </c>
      <c r="K74" s="458">
        <v>44743</v>
      </c>
      <c r="L74" s="362">
        <v>45992</v>
      </c>
      <c r="M74" s="338" t="s">
        <v>97</v>
      </c>
      <c r="N74" s="316" t="s">
        <v>332</v>
      </c>
      <c r="O74" s="316" t="s">
        <v>333</v>
      </c>
      <c r="P74" s="316" t="s">
        <v>87</v>
      </c>
      <c r="Q74" s="290">
        <v>7500</v>
      </c>
      <c r="R74" s="338">
        <v>2021</v>
      </c>
      <c r="S74" s="290">
        <f>7500+8250</f>
        <v>15750</v>
      </c>
      <c r="T74" s="290">
        <f>15750+9075</f>
        <v>24825</v>
      </c>
      <c r="U74" s="290">
        <f>24825+9983</f>
        <v>34808</v>
      </c>
      <c r="V74" s="290">
        <f>34807+10981</f>
        <v>45788</v>
      </c>
      <c r="W74" s="290"/>
      <c r="X74" s="290"/>
      <c r="Y74" s="290"/>
      <c r="Z74" s="290"/>
      <c r="AA74" s="290"/>
      <c r="AB74" s="290">
        <v>45788</v>
      </c>
      <c r="AC74" s="328">
        <v>150</v>
      </c>
      <c r="AD74" s="328">
        <v>154.4</v>
      </c>
      <c r="AE74" s="328">
        <v>159.1</v>
      </c>
      <c r="AF74" s="328">
        <v>163.9</v>
      </c>
      <c r="AG74" s="328"/>
      <c r="AH74" s="328"/>
      <c r="AI74" s="328"/>
      <c r="AJ74" s="328"/>
      <c r="AK74" s="328"/>
      <c r="AL74" s="387">
        <f t="shared" si="46"/>
        <v>627.4</v>
      </c>
      <c r="AM74" s="382">
        <v>150</v>
      </c>
      <c r="AN74" s="365" t="s">
        <v>114</v>
      </c>
      <c r="AO74" s="459"/>
      <c r="AP74" s="459"/>
      <c r="AQ74" s="382">
        <v>154.4</v>
      </c>
      <c r="AR74" s="460" t="s">
        <v>114</v>
      </c>
      <c r="AS74" s="459"/>
      <c r="AT74" s="459"/>
      <c r="AU74" s="382">
        <v>159.1</v>
      </c>
      <c r="AV74" s="460" t="s">
        <v>114</v>
      </c>
      <c r="AW74" s="459"/>
      <c r="AX74" s="459"/>
      <c r="AY74" s="382">
        <v>163.9</v>
      </c>
      <c r="AZ74" s="460" t="s">
        <v>114</v>
      </c>
      <c r="BA74" s="459"/>
      <c r="BB74" s="459"/>
      <c r="BC74" s="459"/>
      <c r="BD74" s="316"/>
      <c r="BE74" s="316"/>
      <c r="BF74" s="316"/>
      <c r="BG74" s="316"/>
      <c r="BH74" s="316"/>
      <c r="BI74" s="316"/>
      <c r="BJ74" s="316"/>
      <c r="BK74" s="316"/>
      <c r="BL74" s="316"/>
      <c r="BM74" s="316"/>
      <c r="BN74" s="316"/>
      <c r="BO74" s="316"/>
      <c r="BP74" s="316"/>
      <c r="BQ74" s="316"/>
      <c r="BR74" s="316"/>
      <c r="BS74" s="383"/>
      <c r="BT74" s="338"/>
      <c r="BU74" s="338"/>
      <c r="BV74" s="338"/>
      <c r="BW74" s="97">
        <f t="shared" si="7"/>
        <v>627.4</v>
      </c>
      <c r="BX74" s="384"/>
      <c r="BY74" s="326"/>
      <c r="BZ74" s="325"/>
      <c r="CA74" s="325"/>
      <c r="CB74" s="97"/>
      <c r="CC74" s="325"/>
      <c r="CD74" s="326"/>
      <c r="CE74" s="326"/>
      <c r="CF74" s="326"/>
      <c r="CG74" s="325"/>
      <c r="CH74" s="325"/>
      <c r="CI74" s="97"/>
      <c r="CJ74" s="325"/>
      <c r="CK74" s="326"/>
      <c r="CL74" s="326"/>
      <c r="CM74" s="326"/>
      <c r="CN74" s="325"/>
      <c r="CO74" s="325"/>
      <c r="CP74" s="97"/>
      <c r="CQ74" s="325"/>
      <c r="CR74" s="326"/>
      <c r="CS74" s="326"/>
      <c r="CT74" s="326"/>
      <c r="CU74" s="325"/>
      <c r="CV74" s="325"/>
      <c r="CW74" s="97"/>
      <c r="CX74" s="325"/>
      <c r="CY74" s="326"/>
      <c r="CZ74" s="326"/>
      <c r="DA74" s="326"/>
      <c r="DB74" s="325"/>
      <c r="DC74" s="325"/>
      <c r="DD74" s="97"/>
      <c r="DE74" s="325"/>
      <c r="DF74" s="326"/>
      <c r="DG74" s="326"/>
      <c r="DH74" s="326"/>
      <c r="DI74" s="325"/>
      <c r="DJ74" s="325"/>
      <c r="DK74" s="97"/>
      <c r="DL74" s="325"/>
      <c r="DM74" s="326"/>
      <c r="DN74" s="326"/>
    </row>
    <row r="75" spans="1:118" s="376" customFormat="1" ht="25.5">
      <c r="B75" s="535"/>
      <c r="C75" s="527"/>
      <c r="D75" s="366" t="s">
        <v>1386</v>
      </c>
      <c r="E75" s="432">
        <v>4.0000000000000001E-3</v>
      </c>
      <c r="F75" s="438" t="s">
        <v>90</v>
      </c>
      <c r="G75" s="316" t="s">
        <v>313</v>
      </c>
      <c r="H75" s="316" t="s">
        <v>334</v>
      </c>
      <c r="I75" s="316" t="s">
        <v>315</v>
      </c>
      <c r="J75" s="385" t="s">
        <v>316</v>
      </c>
      <c r="K75" s="362">
        <v>44713</v>
      </c>
      <c r="L75" s="156">
        <v>47848</v>
      </c>
      <c r="M75" s="316" t="s">
        <v>97</v>
      </c>
      <c r="N75" s="316" t="s">
        <v>1217</v>
      </c>
      <c r="O75" s="316" t="s">
        <v>1218</v>
      </c>
      <c r="P75" s="316" t="s">
        <v>87</v>
      </c>
      <c r="Q75" s="386">
        <v>1089</v>
      </c>
      <c r="R75" s="338">
        <v>2021</v>
      </c>
      <c r="S75" s="386">
        <v>1480</v>
      </c>
      <c r="T75" s="386">
        <v>3363</v>
      </c>
      <c r="U75" s="386">
        <v>5661</v>
      </c>
      <c r="V75" s="386">
        <v>8386</v>
      </c>
      <c r="W75" s="386">
        <v>11551</v>
      </c>
      <c r="X75" s="386">
        <v>15169</v>
      </c>
      <c r="Y75" s="386">
        <v>19254</v>
      </c>
      <c r="Z75" s="386">
        <v>23820</v>
      </c>
      <c r="AA75" s="386">
        <v>28881</v>
      </c>
      <c r="AB75" s="386">
        <v>28881</v>
      </c>
      <c r="AC75" s="328">
        <v>5000</v>
      </c>
      <c r="AD75" s="328">
        <v>5150</v>
      </c>
      <c r="AE75" s="328">
        <v>5304.5</v>
      </c>
      <c r="AF75" s="328">
        <v>5463.6350000000002</v>
      </c>
      <c r="AG75" s="328">
        <v>5627.5440500000004</v>
      </c>
      <c r="AH75" s="328">
        <v>5796.3703715000001</v>
      </c>
      <c r="AI75" s="328">
        <v>5970.2614826449999</v>
      </c>
      <c r="AJ75" s="328">
        <v>6149.3693271243501</v>
      </c>
      <c r="AK75" s="328">
        <v>6333.8504069380806</v>
      </c>
      <c r="AL75" s="387">
        <f t="shared" si="46"/>
        <v>50795.530638207427</v>
      </c>
      <c r="AM75" s="190">
        <v>5000</v>
      </c>
      <c r="AN75" s="316" t="s">
        <v>114</v>
      </c>
      <c r="AO75" s="339"/>
      <c r="AP75" s="316"/>
      <c r="AQ75" s="339">
        <v>5150</v>
      </c>
      <c r="AR75" s="316" t="s">
        <v>114</v>
      </c>
      <c r="AS75" s="339"/>
      <c r="AT75" s="316"/>
      <c r="AU75" s="339">
        <v>5304.5</v>
      </c>
      <c r="AV75" s="316" t="s">
        <v>114</v>
      </c>
      <c r="AW75" s="339"/>
      <c r="AX75" s="316"/>
      <c r="AY75" s="339">
        <v>5463.6350000000002</v>
      </c>
      <c r="AZ75" s="339" t="s">
        <v>80</v>
      </c>
      <c r="BA75" s="339"/>
      <c r="BB75" s="316"/>
      <c r="BC75" s="339">
        <v>5627.5440500000004</v>
      </c>
      <c r="BD75" s="339" t="s">
        <v>80</v>
      </c>
      <c r="BE75" s="339"/>
      <c r="BF75" s="316"/>
      <c r="BG75" s="339">
        <v>5796.3703715000001</v>
      </c>
      <c r="BH75" s="339" t="s">
        <v>80</v>
      </c>
      <c r="BI75" s="339"/>
      <c r="BJ75" s="316"/>
      <c r="BK75" s="339">
        <v>5970.2614826449999</v>
      </c>
      <c r="BL75" s="339" t="s">
        <v>80</v>
      </c>
      <c r="BM75" s="339"/>
      <c r="BN75" s="316"/>
      <c r="BO75" s="339">
        <v>6149.3693271243501</v>
      </c>
      <c r="BP75" s="339" t="s">
        <v>80</v>
      </c>
      <c r="BQ75" s="339"/>
      <c r="BR75" s="316"/>
      <c r="BS75" s="339">
        <v>6333.8504069380806</v>
      </c>
      <c r="BT75" s="339" t="s">
        <v>80</v>
      </c>
      <c r="BU75" s="338"/>
      <c r="BV75" s="338"/>
      <c r="BW75" s="97">
        <f t="shared" ref="BW75:BW138" si="47">IF(SUM(AM75:BV75)=0,"",SUM(AM75:BV75))</f>
        <v>50795.530638207427</v>
      </c>
      <c r="BX75" s="384"/>
      <c r="BY75" s="326"/>
      <c r="BZ75" s="325"/>
      <c r="CA75" s="325"/>
      <c r="CB75" s="97"/>
      <c r="CC75" s="325"/>
      <c r="CD75" s="326"/>
      <c r="CE75" s="326"/>
      <c r="CF75" s="326"/>
      <c r="CG75" s="325"/>
      <c r="CH75" s="325"/>
      <c r="CI75" s="97"/>
      <c r="CJ75" s="325"/>
      <c r="CK75" s="326"/>
      <c r="CL75" s="326"/>
      <c r="CM75" s="326"/>
      <c r="CN75" s="325"/>
      <c r="CO75" s="325"/>
      <c r="CP75" s="97"/>
      <c r="CQ75" s="325"/>
      <c r="CR75" s="326"/>
      <c r="CS75" s="326"/>
      <c r="CT75" s="326"/>
      <c r="CU75" s="325"/>
      <c r="CV75" s="325"/>
      <c r="CW75" s="97"/>
      <c r="CX75" s="325"/>
      <c r="CY75" s="326"/>
      <c r="CZ75" s="326"/>
      <c r="DA75" s="326"/>
      <c r="DB75" s="325"/>
      <c r="DC75" s="325"/>
      <c r="DD75" s="97"/>
      <c r="DE75" s="325"/>
      <c r="DF75" s="326"/>
      <c r="DG75" s="326"/>
      <c r="DH75" s="326"/>
      <c r="DI75" s="325"/>
      <c r="DJ75" s="325"/>
      <c r="DK75" s="97"/>
      <c r="DL75" s="325"/>
      <c r="DM75" s="326"/>
      <c r="DN75" s="326"/>
    </row>
    <row r="76" spans="1:118" s="376" customFormat="1" ht="102">
      <c r="B76" s="535"/>
      <c r="C76" s="527"/>
      <c r="D76" s="388" t="s">
        <v>1387</v>
      </c>
      <c r="E76" s="432">
        <v>1E-3</v>
      </c>
      <c r="F76" s="438" t="s">
        <v>90</v>
      </c>
      <c r="G76" s="316" t="s">
        <v>335</v>
      </c>
      <c r="H76" s="316" t="s">
        <v>336</v>
      </c>
      <c r="I76" s="316" t="s">
        <v>337</v>
      </c>
      <c r="J76" s="385" t="s">
        <v>338</v>
      </c>
      <c r="K76" s="362">
        <v>44713</v>
      </c>
      <c r="L76" s="156">
        <v>47848</v>
      </c>
      <c r="M76" s="316" t="s">
        <v>97</v>
      </c>
      <c r="N76" s="316" t="s">
        <v>1003</v>
      </c>
      <c r="O76" s="316" t="s">
        <v>1004</v>
      </c>
      <c r="P76" s="316" t="s">
        <v>87</v>
      </c>
      <c r="Q76" s="390">
        <v>0</v>
      </c>
      <c r="R76" s="338">
        <v>2021</v>
      </c>
      <c r="S76" s="389">
        <v>0.1</v>
      </c>
      <c r="T76" s="372">
        <v>0.2</v>
      </c>
      <c r="U76" s="372">
        <v>0.3</v>
      </c>
      <c r="V76" s="372">
        <v>0.4</v>
      </c>
      <c r="W76" s="372">
        <v>0.5</v>
      </c>
      <c r="X76" s="372">
        <v>0.6</v>
      </c>
      <c r="Y76" s="372">
        <v>0.7</v>
      </c>
      <c r="Z76" s="372">
        <v>0.8</v>
      </c>
      <c r="AA76" s="372">
        <v>1</v>
      </c>
      <c r="AB76" s="372">
        <v>1</v>
      </c>
      <c r="AC76" s="334"/>
      <c r="AD76" s="328"/>
      <c r="AE76" s="328">
        <v>200</v>
      </c>
      <c r="AF76" s="328">
        <v>1012.5</v>
      </c>
      <c r="AG76" s="328">
        <v>1042.9000000000001</v>
      </c>
      <c r="AH76" s="328">
        <v>1074.2</v>
      </c>
      <c r="AI76" s="328">
        <v>1106.4000000000001</v>
      </c>
      <c r="AJ76" s="328">
        <v>1139.5999999999999</v>
      </c>
      <c r="AK76" s="328">
        <v>1173.8</v>
      </c>
      <c r="AL76" s="387">
        <f t="shared" si="46"/>
        <v>6749.4000000000005</v>
      </c>
      <c r="AM76" s="381"/>
      <c r="AN76" s="381" t="s">
        <v>88</v>
      </c>
      <c r="AO76" s="339"/>
      <c r="AP76" s="316"/>
      <c r="AQ76" s="339"/>
      <c r="AR76" s="381" t="s">
        <v>88</v>
      </c>
      <c r="AS76" s="381"/>
      <c r="AT76" s="316"/>
      <c r="AU76" s="339">
        <v>200</v>
      </c>
      <c r="AV76" s="316" t="s">
        <v>80</v>
      </c>
      <c r="AW76" s="381"/>
      <c r="AX76" s="316"/>
      <c r="AY76" s="328">
        <v>1012.5</v>
      </c>
      <c r="AZ76" s="316" t="s">
        <v>80</v>
      </c>
      <c r="BA76" s="381"/>
      <c r="BB76" s="316"/>
      <c r="BC76" s="328">
        <v>1042.9000000000001</v>
      </c>
      <c r="BD76" s="316" t="s">
        <v>80</v>
      </c>
      <c r="BE76" s="381"/>
      <c r="BF76" s="316"/>
      <c r="BG76" s="328">
        <v>1074.2</v>
      </c>
      <c r="BH76" s="316" t="s">
        <v>80</v>
      </c>
      <c r="BI76" s="381"/>
      <c r="BJ76" s="316"/>
      <c r="BK76" s="328">
        <v>1106.4000000000001</v>
      </c>
      <c r="BL76" s="316" t="s">
        <v>80</v>
      </c>
      <c r="BM76" s="381"/>
      <c r="BN76" s="316"/>
      <c r="BO76" s="328">
        <v>1139.5999999999999</v>
      </c>
      <c r="BP76" s="316" t="s">
        <v>80</v>
      </c>
      <c r="BQ76" s="381"/>
      <c r="BR76" s="316"/>
      <c r="BS76" s="328">
        <v>1173.8</v>
      </c>
      <c r="BT76" s="316" t="s">
        <v>80</v>
      </c>
      <c r="BU76" s="381"/>
      <c r="BV76" s="316"/>
      <c r="BW76" s="97">
        <f t="shared" si="47"/>
        <v>6749.4000000000005</v>
      </c>
      <c r="BX76" s="384"/>
      <c r="BY76" s="326"/>
      <c r="BZ76" s="325"/>
      <c r="CA76" s="325"/>
      <c r="CB76" s="97"/>
      <c r="CC76" s="325"/>
      <c r="CD76" s="326"/>
      <c r="CE76" s="326"/>
      <c r="CF76" s="326"/>
      <c r="CG76" s="325"/>
      <c r="CH76" s="325"/>
      <c r="CI76" s="97"/>
      <c r="CJ76" s="325"/>
      <c r="CK76" s="326"/>
      <c r="CL76" s="326"/>
      <c r="CM76" s="326"/>
      <c r="CN76" s="325"/>
      <c r="CO76" s="325"/>
      <c r="CP76" s="97"/>
      <c r="CQ76" s="325"/>
      <c r="CR76" s="326"/>
      <c r="CS76" s="326"/>
      <c r="CT76" s="326"/>
      <c r="CU76" s="325"/>
      <c r="CV76" s="325"/>
      <c r="CW76" s="97"/>
      <c r="CX76" s="325"/>
      <c r="CY76" s="326"/>
      <c r="CZ76" s="326"/>
      <c r="DA76" s="326"/>
      <c r="DB76" s="325"/>
      <c r="DC76" s="325"/>
      <c r="DD76" s="97"/>
      <c r="DE76" s="325"/>
      <c r="DF76" s="326"/>
      <c r="DG76" s="326"/>
      <c r="DH76" s="326"/>
      <c r="DI76" s="325"/>
      <c r="DJ76" s="325"/>
      <c r="DK76" s="97"/>
      <c r="DL76" s="325"/>
      <c r="DM76" s="326"/>
      <c r="DN76" s="326"/>
    </row>
    <row r="77" spans="1:118" s="376" customFormat="1" ht="140.25">
      <c r="B77" s="535"/>
      <c r="C77" s="527"/>
      <c r="D77" s="306" t="s">
        <v>1388</v>
      </c>
      <c r="E77" s="432">
        <v>5.0000000000000001E-3</v>
      </c>
      <c r="F77" s="438" t="s">
        <v>90</v>
      </c>
      <c r="G77" s="438" t="s">
        <v>228</v>
      </c>
      <c r="H77" s="438" t="s">
        <v>229</v>
      </c>
      <c r="I77" s="438" t="s">
        <v>226</v>
      </c>
      <c r="J77" s="385" t="s">
        <v>227</v>
      </c>
      <c r="K77" s="361">
        <v>44714</v>
      </c>
      <c r="L77" s="156">
        <v>47848</v>
      </c>
      <c r="M77" s="371" t="s">
        <v>97</v>
      </c>
      <c r="N77" s="371" t="s">
        <v>1005</v>
      </c>
      <c r="O77" s="371" t="s">
        <v>1219</v>
      </c>
      <c r="P77" s="371" t="s">
        <v>87</v>
      </c>
      <c r="Q77" s="359">
        <v>0</v>
      </c>
      <c r="R77" s="338">
        <v>2021</v>
      </c>
      <c r="S77" s="372">
        <f>100%/9</f>
        <v>0.1111111111111111</v>
      </c>
      <c r="T77" s="372">
        <f t="shared" ref="T77" si="48">+S77+100%/9</f>
        <v>0.22222222222222221</v>
      </c>
      <c r="U77" s="372">
        <f t="shared" ref="U77" si="49">+T77+100%/9</f>
        <v>0.33333333333333331</v>
      </c>
      <c r="V77" s="372">
        <f t="shared" ref="V77" si="50">+U77+100%/9</f>
        <v>0.44444444444444442</v>
      </c>
      <c r="W77" s="372">
        <f t="shared" ref="W77" si="51">+V77+100%/9</f>
        <v>0.55555555555555558</v>
      </c>
      <c r="X77" s="372">
        <f t="shared" ref="X77" si="52">+W77+100%/9</f>
        <v>0.66666666666666674</v>
      </c>
      <c r="Y77" s="372">
        <f t="shared" ref="Y77" si="53">+X77+100%/9</f>
        <v>0.7777777777777779</v>
      </c>
      <c r="Z77" s="372">
        <f t="shared" ref="Z77" si="54">+Y77+100%/9</f>
        <v>0.88888888888888906</v>
      </c>
      <c r="AA77" s="372">
        <f t="shared" ref="AA77" si="55">+Z77+100%/9</f>
        <v>1.0000000000000002</v>
      </c>
      <c r="AB77" s="372">
        <v>1</v>
      </c>
      <c r="AC77" s="328">
        <v>3000</v>
      </c>
      <c r="AD77" s="328">
        <v>3000</v>
      </c>
      <c r="AE77" s="328">
        <f>+AD77*2.5</f>
        <v>7500</v>
      </c>
      <c r="AF77" s="328">
        <v>10000</v>
      </c>
      <c r="AG77" s="328">
        <v>15000</v>
      </c>
      <c r="AH77" s="328">
        <v>20000</v>
      </c>
      <c r="AI77" s="328">
        <v>25000</v>
      </c>
      <c r="AJ77" s="328">
        <v>30000</v>
      </c>
      <c r="AK77" s="328">
        <v>35000</v>
      </c>
      <c r="AL77" s="387">
        <f t="shared" si="46"/>
        <v>148500</v>
      </c>
      <c r="AM77" s="190">
        <f t="shared" ref="AM77" si="56">+AC77</f>
        <v>3000</v>
      </c>
      <c r="AN77" s="221" t="s">
        <v>114</v>
      </c>
      <c r="AO77" s="190"/>
      <c r="AP77" s="194"/>
      <c r="AQ77" s="190">
        <f t="shared" ref="AQ77" si="57">+AD77</f>
        <v>3000</v>
      </c>
      <c r="AR77" s="221" t="s">
        <v>114</v>
      </c>
      <c r="AS77" s="190"/>
      <c r="AT77" s="194"/>
      <c r="AU77" s="321">
        <f>+AE77</f>
        <v>7500</v>
      </c>
      <c r="AV77" s="221" t="s">
        <v>114</v>
      </c>
      <c r="AW77" s="321"/>
      <c r="AX77" s="194"/>
      <c r="AY77" s="321">
        <f t="shared" ref="AY77" si="58">+AF77</f>
        <v>10000</v>
      </c>
      <c r="AZ77" s="221" t="s">
        <v>114</v>
      </c>
      <c r="BA77" s="321"/>
      <c r="BB77" s="194"/>
      <c r="BC77" s="321">
        <f t="shared" ref="BC77" si="59">+AG77</f>
        <v>15000</v>
      </c>
      <c r="BD77" s="221" t="s">
        <v>114</v>
      </c>
      <c r="BE77" s="321"/>
      <c r="BF77" s="194"/>
      <c r="BG77" s="321">
        <f t="shared" ref="BG77" si="60">+AH77</f>
        <v>20000</v>
      </c>
      <c r="BH77" s="221" t="s">
        <v>114</v>
      </c>
      <c r="BI77" s="321"/>
      <c r="BJ77" s="194"/>
      <c r="BK77" s="321">
        <f t="shared" ref="BK77" si="61">+AI77</f>
        <v>25000</v>
      </c>
      <c r="BL77" s="221" t="s">
        <v>114</v>
      </c>
      <c r="BM77" s="321"/>
      <c r="BN77" s="194"/>
      <c r="BO77" s="321">
        <f t="shared" ref="BO77" si="62">+AJ77</f>
        <v>30000</v>
      </c>
      <c r="BP77" s="221" t="s">
        <v>114</v>
      </c>
      <c r="BQ77" s="321"/>
      <c r="BR77" s="194"/>
      <c r="BS77" s="190">
        <f t="shared" ref="BS77" si="63">+AK77</f>
        <v>35000</v>
      </c>
      <c r="BT77" s="221" t="s">
        <v>114</v>
      </c>
      <c r="BU77" s="190"/>
      <c r="BV77" s="194"/>
      <c r="BW77" s="97">
        <f t="shared" si="47"/>
        <v>148500</v>
      </c>
      <c r="BX77" s="384"/>
      <c r="BY77" s="326"/>
      <c r="BZ77" s="325"/>
      <c r="CA77" s="325"/>
      <c r="CB77" s="97"/>
      <c r="CC77" s="325"/>
      <c r="CD77" s="326"/>
      <c r="CE77" s="326"/>
      <c r="CF77" s="326"/>
      <c r="CG77" s="325"/>
      <c r="CH77" s="325"/>
      <c r="CI77" s="97"/>
      <c r="CJ77" s="325"/>
      <c r="CK77" s="326"/>
      <c r="CL77" s="326"/>
      <c r="CM77" s="326"/>
      <c r="CN77" s="325"/>
      <c r="CO77" s="325"/>
      <c r="CP77" s="97"/>
      <c r="CQ77" s="325"/>
      <c r="CR77" s="326"/>
      <c r="CS77" s="326"/>
      <c r="CT77" s="326"/>
      <c r="CU77" s="325"/>
      <c r="CV77" s="325"/>
      <c r="CW77" s="97"/>
      <c r="CX77" s="325"/>
      <c r="CY77" s="326"/>
      <c r="CZ77" s="326"/>
      <c r="DA77" s="326"/>
      <c r="DB77" s="325"/>
      <c r="DC77" s="325"/>
      <c r="DD77" s="97"/>
      <c r="DE77" s="325"/>
      <c r="DF77" s="326"/>
      <c r="DG77" s="326"/>
      <c r="DH77" s="326"/>
      <c r="DI77" s="325"/>
      <c r="DJ77" s="325"/>
      <c r="DK77" s="97"/>
      <c r="DL77" s="325"/>
      <c r="DM77" s="326"/>
      <c r="DN77" s="326"/>
    </row>
    <row r="78" spans="1:118" s="376" customFormat="1" ht="51">
      <c r="B78" s="535"/>
      <c r="C78" s="527"/>
      <c r="D78" s="233" t="s">
        <v>1389</v>
      </c>
      <c r="E78" s="431">
        <v>1E-3</v>
      </c>
      <c r="F78" s="438" t="s">
        <v>90</v>
      </c>
      <c r="G78" s="314" t="s">
        <v>190</v>
      </c>
      <c r="H78" s="438" t="s">
        <v>339</v>
      </c>
      <c r="I78" s="316" t="s">
        <v>340</v>
      </c>
      <c r="J78" s="385" t="s">
        <v>341</v>
      </c>
      <c r="K78" s="361">
        <v>44713</v>
      </c>
      <c r="L78" s="156">
        <v>47848</v>
      </c>
      <c r="M78" s="315" t="s">
        <v>97</v>
      </c>
      <c r="N78" s="315" t="s">
        <v>342</v>
      </c>
      <c r="O78" s="315" t="s">
        <v>343</v>
      </c>
      <c r="P78" s="316" t="s">
        <v>87</v>
      </c>
      <c r="Q78" s="391">
        <v>0</v>
      </c>
      <c r="R78" s="338">
        <v>2022</v>
      </c>
      <c r="S78" s="194">
        <v>1</v>
      </c>
      <c r="T78" s="194">
        <v>2</v>
      </c>
      <c r="U78" s="194">
        <v>3</v>
      </c>
      <c r="V78" s="194">
        <v>4</v>
      </c>
      <c r="W78" s="194">
        <v>5</v>
      </c>
      <c r="X78" s="194">
        <v>6</v>
      </c>
      <c r="Y78" s="194">
        <v>7</v>
      </c>
      <c r="Z78" s="194">
        <v>8</v>
      </c>
      <c r="AA78" s="194">
        <v>9</v>
      </c>
      <c r="AB78" s="194">
        <v>9</v>
      </c>
      <c r="AC78" s="328"/>
      <c r="AD78" s="328"/>
      <c r="AE78" s="328"/>
      <c r="AF78" s="328"/>
      <c r="AG78" s="328"/>
      <c r="AH78" s="328"/>
      <c r="AI78" s="328"/>
      <c r="AJ78" s="328"/>
      <c r="AK78" s="328"/>
      <c r="AL78" s="387" t="str">
        <f t="shared" si="46"/>
        <v/>
      </c>
      <c r="AM78" s="190"/>
      <c r="AN78" s="194" t="s">
        <v>956</v>
      </c>
      <c r="AO78" s="190"/>
      <c r="AP78" s="194"/>
      <c r="AQ78" s="190"/>
      <c r="AR78" s="194" t="s">
        <v>956</v>
      </c>
      <c r="AS78" s="190"/>
      <c r="AT78" s="194"/>
      <c r="AU78" s="190"/>
      <c r="AV78" s="194" t="s">
        <v>956</v>
      </c>
      <c r="AW78" s="190"/>
      <c r="AX78" s="194"/>
      <c r="AY78" s="190"/>
      <c r="AZ78" s="194" t="s">
        <v>956</v>
      </c>
      <c r="BA78" s="190"/>
      <c r="BB78" s="194"/>
      <c r="BC78" s="190"/>
      <c r="BD78" s="194" t="s">
        <v>956</v>
      </c>
      <c r="BE78" s="190"/>
      <c r="BF78" s="194"/>
      <c r="BG78" s="190"/>
      <c r="BH78" s="194" t="s">
        <v>956</v>
      </c>
      <c r="BI78" s="190"/>
      <c r="BJ78" s="194"/>
      <c r="BK78" s="190"/>
      <c r="BL78" s="194" t="s">
        <v>956</v>
      </c>
      <c r="BM78" s="190"/>
      <c r="BN78" s="194"/>
      <c r="BO78" s="190"/>
      <c r="BP78" s="194" t="s">
        <v>956</v>
      </c>
      <c r="BQ78" s="190"/>
      <c r="BR78" s="194"/>
      <c r="BS78" s="190"/>
      <c r="BT78" s="194" t="s">
        <v>956</v>
      </c>
      <c r="BU78" s="190"/>
      <c r="BV78" s="194"/>
      <c r="BW78" s="97" t="str">
        <f t="shared" si="47"/>
        <v/>
      </c>
      <c r="BX78" s="384"/>
      <c r="BY78" s="313"/>
      <c r="BZ78" s="45"/>
      <c r="CA78" s="45"/>
      <c r="CB78" s="97"/>
      <c r="CC78" s="45"/>
      <c r="CD78" s="313"/>
      <c r="CE78" s="313"/>
      <c r="CF78" s="313"/>
      <c r="CG78" s="45"/>
      <c r="CH78" s="45"/>
      <c r="CI78" s="97"/>
      <c r="CJ78" s="45"/>
      <c r="CK78" s="313"/>
      <c r="CL78" s="313"/>
      <c r="CM78" s="313"/>
      <c r="CN78" s="45"/>
      <c r="CO78" s="45"/>
      <c r="CP78" s="97"/>
      <c r="CQ78" s="45"/>
      <c r="CR78" s="313"/>
      <c r="CS78" s="313"/>
      <c r="CT78" s="313"/>
      <c r="CU78" s="45"/>
      <c r="CV78" s="45"/>
      <c r="CW78" s="97"/>
      <c r="CX78" s="45"/>
      <c r="CY78" s="313"/>
      <c r="CZ78" s="313"/>
      <c r="DA78" s="313"/>
      <c r="DB78" s="45"/>
      <c r="DC78" s="45"/>
      <c r="DD78" s="97"/>
      <c r="DE78" s="45"/>
      <c r="DF78" s="313"/>
      <c r="DG78" s="313"/>
      <c r="DH78" s="313"/>
      <c r="DI78" s="45"/>
      <c r="DJ78" s="45"/>
      <c r="DK78" s="97"/>
      <c r="DL78" s="45"/>
      <c r="DM78" s="313"/>
      <c r="DN78" s="313"/>
    </row>
    <row r="79" spans="1:118" ht="63.75">
      <c r="A79" s="19"/>
      <c r="B79" s="535"/>
      <c r="C79" s="527"/>
      <c r="D79" s="317" t="s">
        <v>1390</v>
      </c>
      <c r="E79" s="432">
        <v>0.01</v>
      </c>
      <c r="F79" s="187" t="s">
        <v>90</v>
      </c>
      <c r="G79" s="136" t="s">
        <v>344</v>
      </c>
      <c r="H79" s="136" t="s">
        <v>345</v>
      </c>
      <c r="I79" s="136" t="s">
        <v>346</v>
      </c>
      <c r="J79" s="385" t="s">
        <v>347</v>
      </c>
      <c r="K79" s="156">
        <v>44713</v>
      </c>
      <c r="L79" s="156">
        <v>47848</v>
      </c>
      <c r="M79" s="136" t="s">
        <v>97</v>
      </c>
      <c r="N79" s="136" t="s">
        <v>1220</v>
      </c>
      <c r="O79" s="136" t="s">
        <v>1221</v>
      </c>
      <c r="P79" s="136" t="s">
        <v>125</v>
      </c>
      <c r="Q79" s="322">
        <v>0.5</v>
      </c>
      <c r="R79" s="127">
        <v>2021</v>
      </c>
      <c r="S79" s="322">
        <v>0.75</v>
      </c>
      <c r="T79" s="322">
        <v>0.75</v>
      </c>
      <c r="U79" s="322">
        <v>0.75</v>
      </c>
      <c r="V79" s="322">
        <v>0.8</v>
      </c>
      <c r="W79" s="322">
        <v>0.8</v>
      </c>
      <c r="X79" s="322">
        <v>0.8</v>
      </c>
      <c r="Y79" s="322">
        <v>0.8</v>
      </c>
      <c r="Z79" s="322">
        <v>0.8</v>
      </c>
      <c r="AA79" s="322">
        <v>0.8</v>
      </c>
      <c r="AB79" s="322">
        <v>0.78</v>
      </c>
      <c r="AC79" s="330">
        <v>15</v>
      </c>
      <c r="AD79" s="330">
        <v>15</v>
      </c>
      <c r="AE79" s="330">
        <v>15</v>
      </c>
      <c r="AF79" s="331">
        <v>15</v>
      </c>
      <c r="AG79" s="331">
        <v>15</v>
      </c>
      <c r="AH79" s="331">
        <v>15</v>
      </c>
      <c r="AI79" s="331">
        <v>15</v>
      </c>
      <c r="AJ79" s="331">
        <v>15</v>
      </c>
      <c r="AK79" s="330">
        <v>15</v>
      </c>
      <c r="AL79" s="454">
        <f t="shared" si="46"/>
        <v>135</v>
      </c>
      <c r="AM79" s="230">
        <f>+AC79</f>
        <v>15</v>
      </c>
      <c r="AN79" s="127" t="s">
        <v>80</v>
      </c>
      <c r="AO79" s="136"/>
      <c r="AP79" s="226"/>
      <c r="AQ79" s="230">
        <f>+AD79</f>
        <v>15</v>
      </c>
      <c r="AR79" s="127" t="s">
        <v>80</v>
      </c>
      <c r="AS79" s="136"/>
      <c r="AT79" s="226"/>
      <c r="AU79" s="230">
        <f>+AE79</f>
        <v>15</v>
      </c>
      <c r="AV79" s="127" t="s">
        <v>80</v>
      </c>
      <c r="AW79" s="136"/>
      <c r="AX79" s="226"/>
      <c r="AY79" s="226">
        <v>15</v>
      </c>
      <c r="AZ79" s="127" t="s">
        <v>80</v>
      </c>
      <c r="BA79" s="136"/>
      <c r="BB79" s="226"/>
      <c r="BC79" s="226">
        <v>15</v>
      </c>
      <c r="BD79" s="127" t="s">
        <v>80</v>
      </c>
      <c r="BE79" s="136"/>
      <c r="BF79" s="394"/>
      <c r="BG79" s="226">
        <v>15</v>
      </c>
      <c r="BH79" s="127" t="s">
        <v>80</v>
      </c>
      <c r="BI79" s="136"/>
      <c r="BJ79" s="394"/>
      <c r="BK79" s="226">
        <v>15</v>
      </c>
      <c r="BL79" s="127" t="s">
        <v>80</v>
      </c>
      <c r="BM79" s="136"/>
      <c r="BN79" s="394"/>
      <c r="BO79" s="226">
        <v>15</v>
      </c>
      <c r="BP79" s="127" t="s">
        <v>80</v>
      </c>
      <c r="BQ79" s="136"/>
      <c r="BR79" s="289"/>
      <c r="BS79" s="226">
        <v>15</v>
      </c>
      <c r="BT79" s="127" t="s">
        <v>80</v>
      </c>
      <c r="BU79" s="187"/>
      <c r="BV79" s="187"/>
      <c r="BW79" s="97">
        <f t="shared" si="47"/>
        <v>135</v>
      </c>
      <c r="BX79" s="384"/>
      <c r="BY79" s="305"/>
      <c r="BZ79" s="291"/>
      <c r="CA79" s="291"/>
      <c r="CB79" s="97"/>
      <c r="CC79" s="291"/>
      <c r="CD79" s="305"/>
      <c r="CE79" s="305"/>
      <c r="CF79" s="305"/>
      <c r="CG79" s="291"/>
      <c r="CH79" s="291"/>
      <c r="CI79" s="97"/>
      <c r="CJ79" s="291"/>
      <c r="CK79" s="305"/>
      <c r="CL79" s="305"/>
      <c r="CM79" s="305"/>
      <c r="CN79" s="291"/>
      <c r="CO79" s="291"/>
      <c r="CP79" s="97"/>
      <c r="CQ79" s="291"/>
      <c r="CR79" s="305"/>
      <c r="CS79" s="305"/>
      <c r="CT79" s="305"/>
      <c r="CU79" s="291"/>
      <c r="CV79" s="291"/>
      <c r="CW79" s="97"/>
      <c r="CX79" s="291"/>
      <c r="CY79" s="305"/>
      <c r="CZ79" s="305"/>
      <c r="DA79" s="305"/>
      <c r="DB79" s="291"/>
      <c r="DC79" s="291"/>
      <c r="DD79" s="97"/>
      <c r="DE79" s="291"/>
      <c r="DF79" s="305"/>
      <c r="DG79" s="305"/>
      <c r="DH79" s="305"/>
      <c r="DI79" s="291"/>
      <c r="DJ79" s="291"/>
      <c r="DK79" s="97"/>
      <c r="DL79" s="291"/>
      <c r="DM79" s="305"/>
      <c r="DN79" s="305"/>
    </row>
    <row r="80" spans="1:118" s="376" customFormat="1" ht="51">
      <c r="B80" s="535"/>
      <c r="C80" s="527"/>
      <c r="D80" s="392" t="s">
        <v>1391</v>
      </c>
      <c r="E80" s="432">
        <v>1E-3</v>
      </c>
      <c r="F80" s="438" t="s">
        <v>90</v>
      </c>
      <c r="G80" s="316" t="s">
        <v>344</v>
      </c>
      <c r="H80" s="316" t="s">
        <v>345</v>
      </c>
      <c r="I80" s="316" t="s">
        <v>346</v>
      </c>
      <c r="J80" s="385" t="s">
        <v>347</v>
      </c>
      <c r="K80" s="362">
        <v>44713</v>
      </c>
      <c r="L80" s="156">
        <v>47848</v>
      </c>
      <c r="M80" s="338" t="s">
        <v>348</v>
      </c>
      <c r="N80" s="316" t="s">
        <v>1222</v>
      </c>
      <c r="O80" s="316" t="s">
        <v>1223</v>
      </c>
      <c r="P80" s="316" t="s">
        <v>125</v>
      </c>
      <c r="Q80" s="372">
        <v>0.35</v>
      </c>
      <c r="R80" s="316">
        <v>2021</v>
      </c>
      <c r="S80" s="393">
        <v>0.35</v>
      </c>
      <c r="T80" s="393">
        <v>0.375</v>
      </c>
      <c r="U80" s="393">
        <v>0.375</v>
      </c>
      <c r="V80" s="393">
        <v>0.375</v>
      </c>
      <c r="W80" s="393">
        <v>0.375</v>
      </c>
      <c r="X80" s="393">
        <v>0.4</v>
      </c>
      <c r="Y80" s="393">
        <v>0.4</v>
      </c>
      <c r="Z80" s="393">
        <v>0.4</v>
      </c>
      <c r="AA80" s="393">
        <v>0.4</v>
      </c>
      <c r="AB80" s="323">
        <v>0.38329999999999997</v>
      </c>
      <c r="AC80" s="328">
        <v>15</v>
      </c>
      <c r="AD80" s="328">
        <v>15</v>
      </c>
      <c r="AE80" s="328">
        <v>15</v>
      </c>
      <c r="AF80" s="333">
        <v>15</v>
      </c>
      <c r="AG80" s="333">
        <v>15</v>
      </c>
      <c r="AH80" s="333">
        <v>15</v>
      </c>
      <c r="AI80" s="333">
        <v>15</v>
      </c>
      <c r="AJ80" s="333">
        <v>15</v>
      </c>
      <c r="AK80" s="328">
        <v>15</v>
      </c>
      <c r="AL80" s="387">
        <f t="shared" si="46"/>
        <v>135</v>
      </c>
      <c r="AM80" s="340">
        <f>+AC80</f>
        <v>15</v>
      </c>
      <c r="AN80" s="338" t="s">
        <v>80</v>
      </c>
      <c r="AO80" s="316"/>
      <c r="AP80" s="339"/>
      <c r="AQ80" s="340">
        <f>+AD80</f>
        <v>15</v>
      </c>
      <c r="AR80" s="338" t="s">
        <v>80</v>
      </c>
      <c r="AS80" s="316"/>
      <c r="AT80" s="339"/>
      <c r="AU80" s="340">
        <f>+AE80</f>
        <v>15</v>
      </c>
      <c r="AV80" s="338" t="s">
        <v>80</v>
      </c>
      <c r="AW80" s="316"/>
      <c r="AX80" s="339"/>
      <c r="AY80" s="339">
        <v>15</v>
      </c>
      <c r="AZ80" s="338" t="s">
        <v>80</v>
      </c>
      <c r="BA80" s="316"/>
      <c r="BB80" s="339"/>
      <c r="BC80" s="339">
        <v>15</v>
      </c>
      <c r="BD80" s="338" t="s">
        <v>80</v>
      </c>
      <c r="BE80" s="316"/>
      <c r="BF80" s="395"/>
      <c r="BG80" s="339">
        <v>15</v>
      </c>
      <c r="BH80" s="338" t="s">
        <v>80</v>
      </c>
      <c r="BI80" s="316"/>
      <c r="BJ80" s="395"/>
      <c r="BK80" s="339">
        <v>15</v>
      </c>
      <c r="BL80" s="338" t="s">
        <v>80</v>
      </c>
      <c r="BM80" s="316"/>
      <c r="BN80" s="395"/>
      <c r="BO80" s="339">
        <v>15</v>
      </c>
      <c r="BP80" s="338" t="s">
        <v>80</v>
      </c>
      <c r="BQ80" s="316"/>
      <c r="BR80" s="289"/>
      <c r="BS80" s="339">
        <v>15</v>
      </c>
      <c r="BT80" s="338" t="s">
        <v>80</v>
      </c>
      <c r="BU80" s="438"/>
      <c r="BV80" s="438"/>
      <c r="BW80" s="97">
        <f t="shared" si="47"/>
        <v>135</v>
      </c>
      <c r="BX80" s="384"/>
      <c r="BY80" s="326"/>
      <c r="BZ80" s="325"/>
      <c r="CA80" s="325"/>
      <c r="CB80" s="97"/>
      <c r="CC80" s="325"/>
      <c r="CD80" s="326"/>
      <c r="CE80" s="326"/>
      <c r="CF80" s="326"/>
      <c r="CG80" s="325"/>
      <c r="CH80" s="325"/>
      <c r="CI80" s="97"/>
      <c r="CJ80" s="325"/>
      <c r="CK80" s="326"/>
      <c r="CL80" s="326"/>
      <c r="CM80" s="326"/>
      <c r="CN80" s="325"/>
      <c r="CO80" s="325"/>
      <c r="CP80" s="97"/>
      <c r="CQ80" s="325"/>
      <c r="CR80" s="326"/>
      <c r="CS80" s="326"/>
      <c r="CT80" s="326"/>
      <c r="CU80" s="325"/>
      <c r="CV80" s="325"/>
      <c r="CW80" s="97"/>
      <c r="CX80" s="325"/>
      <c r="CY80" s="326"/>
      <c r="CZ80" s="326"/>
      <c r="DA80" s="326"/>
      <c r="DB80" s="325"/>
      <c r="DC80" s="325"/>
      <c r="DD80" s="97"/>
      <c r="DE80" s="325"/>
      <c r="DF80" s="326"/>
      <c r="DG80" s="326"/>
      <c r="DH80" s="326"/>
      <c r="DI80" s="325"/>
      <c r="DJ80" s="325"/>
      <c r="DK80" s="97"/>
      <c r="DL80" s="325"/>
      <c r="DM80" s="326"/>
      <c r="DN80" s="326"/>
    </row>
    <row r="81" spans="1:118" ht="89.25">
      <c r="A81" s="19"/>
      <c r="B81" s="535"/>
      <c r="C81" s="527"/>
      <c r="D81" s="233" t="s">
        <v>1392</v>
      </c>
      <c r="E81" s="432">
        <v>1E-3</v>
      </c>
      <c r="F81" s="187" t="s">
        <v>90</v>
      </c>
      <c r="G81" s="320" t="s">
        <v>110</v>
      </c>
      <c r="H81" s="187" t="s">
        <v>156</v>
      </c>
      <c r="I81" s="187" t="s">
        <v>1006</v>
      </c>
      <c r="J81" s="385" t="s">
        <v>349</v>
      </c>
      <c r="K81" s="192">
        <v>44743</v>
      </c>
      <c r="L81" s="192">
        <v>46387</v>
      </c>
      <c r="M81" s="193" t="s">
        <v>78</v>
      </c>
      <c r="N81" s="136" t="s">
        <v>350</v>
      </c>
      <c r="O81" s="136" t="s">
        <v>1224</v>
      </c>
      <c r="P81" s="193" t="s">
        <v>87</v>
      </c>
      <c r="Q81" s="235">
        <v>0</v>
      </c>
      <c r="R81" s="127">
        <v>2021</v>
      </c>
      <c r="S81" s="201">
        <v>0.1</v>
      </c>
      <c r="T81" s="201">
        <v>0.4</v>
      </c>
      <c r="U81" s="201">
        <v>0.6</v>
      </c>
      <c r="V81" s="201">
        <v>0.8</v>
      </c>
      <c r="W81" s="201">
        <v>1</v>
      </c>
      <c r="X81" s="201"/>
      <c r="Y81" s="194"/>
      <c r="Z81" s="194"/>
      <c r="AA81" s="194"/>
      <c r="AB81" s="203">
        <v>1</v>
      </c>
      <c r="AC81" s="328">
        <v>35.409999999999997</v>
      </c>
      <c r="AD81" s="328">
        <v>60.78</v>
      </c>
      <c r="AE81" s="328">
        <v>62.61</v>
      </c>
      <c r="AF81" s="328">
        <v>64.489999999999995</v>
      </c>
      <c r="AG81" s="328">
        <v>66.42</v>
      </c>
      <c r="AH81" s="328"/>
      <c r="AI81" s="328"/>
      <c r="AJ81" s="328"/>
      <c r="AK81" s="328"/>
      <c r="AL81" s="454">
        <f t="shared" si="46"/>
        <v>289.71000000000004</v>
      </c>
      <c r="AM81" s="271">
        <v>35.409999999999997</v>
      </c>
      <c r="AN81" s="272" t="s">
        <v>114</v>
      </c>
      <c r="AO81" s="273"/>
      <c r="AP81" s="272"/>
      <c r="AQ81" s="271">
        <v>60.78</v>
      </c>
      <c r="AR81" s="272" t="s">
        <v>114</v>
      </c>
      <c r="AS81" s="273"/>
      <c r="AT81" s="272"/>
      <c r="AU81" s="271">
        <v>62.61</v>
      </c>
      <c r="AV81" s="272" t="s">
        <v>114</v>
      </c>
      <c r="AW81" s="273"/>
      <c r="AX81" s="272"/>
      <c r="AY81" s="271">
        <v>64.489999999999995</v>
      </c>
      <c r="AZ81" s="272" t="s">
        <v>114</v>
      </c>
      <c r="BA81" s="273"/>
      <c r="BB81" s="273"/>
      <c r="BC81" s="271">
        <v>66.42</v>
      </c>
      <c r="BD81" s="272" t="s">
        <v>114</v>
      </c>
      <c r="BE81" s="321"/>
      <c r="BF81" s="194"/>
      <c r="BG81" s="321"/>
      <c r="BH81" s="194"/>
      <c r="BI81" s="321"/>
      <c r="BJ81" s="194"/>
      <c r="BK81" s="321"/>
      <c r="BL81" s="194"/>
      <c r="BM81" s="321"/>
      <c r="BN81" s="194"/>
      <c r="BO81" s="321"/>
      <c r="BP81" s="194"/>
      <c r="BQ81" s="321"/>
      <c r="BR81" s="194"/>
      <c r="BS81" s="190"/>
      <c r="BT81" s="194"/>
      <c r="BU81" s="190"/>
      <c r="BV81" s="194"/>
      <c r="BW81" s="97">
        <f t="shared" si="47"/>
        <v>289.71000000000004</v>
      </c>
      <c r="BX81" s="384"/>
      <c r="BY81" s="305"/>
      <c r="BZ81" s="291"/>
      <c r="CA81" s="291"/>
      <c r="CB81" s="97"/>
      <c r="CC81" s="291"/>
      <c r="CD81" s="305"/>
      <c r="CE81" s="305"/>
      <c r="CF81" s="305"/>
      <c r="CG81" s="291"/>
      <c r="CH81" s="291"/>
      <c r="CI81" s="97"/>
      <c r="CJ81" s="291"/>
      <c r="CK81" s="305"/>
      <c r="CL81" s="305"/>
      <c r="CM81" s="305"/>
      <c r="CN81" s="291"/>
      <c r="CO81" s="291"/>
      <c r="CP81" s="97"/>
      <c r="CQ81" s="291"/>
      <c r="CR81" s="305"/>
      <c r="CS81" s="305"/>
      <c r="CT81" s="305"/>
      <c r="CU81" s="291"/>
      <c r="CV81" s="291"/>
      <c r="CW81" s="97"/>
      <c r="CX81" s="291"/>
      <c r="CY81" s="305"/>
      <c r="CZ81" s="305"/>
      <c r="DA81" s="305"/>
      <c r="DB81" s="291"/>
      <c r="DC81" s="291"/>
      <c r="DD81" s="97"/>
      <c r="DE81" s="291"/>
      <c r="DF81" s="305"/>
      <c r="DG81" s="305"/>
      <c r="DH81" s="305"/>
      <c r="DI81" s="291"/>
      <c r="DJ81" s="291"/>
      <c r="DK81" s="97"/>
      <c r="DL81" s="291"/>
      <c r="DM81" s="305"/>
      <c r="DN81" s="305"/>
    </row>
    <row r="82" spans="1:118" s="376" customFormat="1" ht="51">
      <c r="B82" s="535"/>
      <c r="C82" s="527"/>
      <c r="D82" s="366" t="s">
        <v>1393</v>
      </c>
      <c r="E82" s="432">
        <v>1.4999999999999999E-2</v>
      </c>
      <c r="F82" s="438" t="s">
        <v>90</v>
      </c>
      <c r="G82" s="316" t="s">
        <v>351</v>
      </c>
      <c r="H82" s="316" t="s">
        <v>352</v>
      </c>
      <c r="I82" s="316" t="s">
        <v>353</v>
      </c>
      <c r="J82" s="385" t="s">
        <v>354</v>
      </c>
      <c r="K82" s="362">
        <v>44713</v>
      </c>
      <c r="L82" s="156">
        <v>47848</v>
      </c>
      <c r="M82" s="316" t="s">
        <v>97</v>
      </c>
      <c r="N82" s="316" t="s">
        <v>355</v>
      </c>
      <c r="O82" s="316" t="s">
        <v>356</v>
      </c>
      <c r="P82" s="316" t="s">
        <v>87</v>
      </c>
      <c r="Q82" s="391">
        <v>154375</v>
      </c>
      <c r="R82" s="338">
        <v>2021</v>
      </c>
      <c r="S82" s="391">
        <v>318012.5</v>
      </c>
      <c r="T82" s="391">
        <v>491468.25</v>
      </c>
      <c r="U82" s="391">
        <v>675331.34499999997</v>
      </c>
      <c r="V82" s="391">
        <v>870226.22569999995</v>
      </c>
      <c r="W82" s="391">
        <v>1076814.7992420001</v>
      </c>
      <c r="X82" s="391">
        <v>1295798.6871965202</v>
      </c>
      <c r="Y82" s="391">
        <v>1527921.6084283115</v>
      </c>
      <c r="Z82" s="391">
        <v>1773971.9049340102</v>
      </c>
      <c r="AA82" s="391">
        <v>2034785.2192300509</v>
      </c>
      <c r="AB82" s="391">
        <f>+AA82</f>
        <v>2034785.2192300509</v>
      </c>
      <c r="AC82" s="334">
        <v>159432</v>
      </c>
      <c r="AD82" s="334">
        <v>167881.89600000001</v>
      </c>
      <c r="AE82" s="334">
        <v>176365.16292</v>
      </c>
      <c r="AF82" s="334">
        <v>184883.56941875999</v>
      </c>
      <c r="AG82" s="334">
        <v>193438.97789395426</v>
      </c>
      <c r="AH82" s="334">
        <v>202033.34945033383</v>
      </c>
      <c r="AI82" s="334">
        <v>210668.74913120153</v>
      </c>
      <c r="AJ82" s="334">
        <v>219347.35142715523</v>
      </c>
      <c r="AK82" s="334">
        <v>228071.44607679444</v>
      </c>
      <c r="AL82" s="387">
        <f t="shared" si="46"/>
        <v>1742122.5023181995</v>
      </c>
      <c r="AM82" s="271">
        <v>159432</v>
      </c>
      <c r="AN82" s="271" t="s">
        <v>119</v>
      </c>
      <c r="AO82" s="271"/>
      <c r="AP82" s="271"/>
      <c r="AQ82" s="271">
        <v>167881.89600000001</v>
      </c>
      <c r="AR82" s="271" t="s">
        <v>119</v>
      </c>
      <c r="AS82" s="271"/>
      <c r="AT82" s="271"/>
      <c r="AU82" s="271">
        <v>176365.16292</v>
      </c>
      <c r="AV82" s="271" t="s">
        <v>119</v>
      </c>
      <c r="AW82" s="271"/>
      <c r="AX82" s="271"/>
      <c r="AY82" s="271">
        <v>184883.56941875999</v>
      </c>
      <c r="AZ82" s="271" t="s">
        <v>119</v>
      </c>
      <c r="BA82" s="271"/>
      <c r="BB82" s="271"/>
      <c r="BC82" s="271">
        <f>+AG82</f>
        <v>193438.97789395426</v>
      </c>
      <c r="BD82" s="271" t="s">
        <v>119</v>
      </c>
      <c r="BE82" s="271"/>
      <c r="BF82" s="271"/>
      <c r="BG82" s="271">
        <f>+AH82</f>
        <v>202033.34945033383</v>
      </c>
      <c r="BH82" s="271" t="s">
        <v>119</v>
      </c>
      <c r="BI82" s="271"/>
      <c r="BJ82" s="271"/>
      <c r="BK82" s="271">
        <f>+AI82</f>
        <v>210668.74913120153</v>
      </c>
      <c r="BL82" s="271" t="s">
        <v>119</v>
      </c>
      <c r="BM82" s="271"/>
      <c r="BN82" s="271"/>
      <c r="BO82" s="271">
        <f>+AJ82</f>
        <v>219347.35142715523</v>
      </c>
      <c r="BP82" s="271" t="s">
        <v>119</v>
      </c>
      <c r="BQ82" s="271"/>
      <c r="BR82" s="271"/>
      <c r="BS82" s="271">
        <f>+AK82</f>
        <v>228071.44607679444</v>
      </c>
      <c r="BT82" s="271" t="s">
        <v>119</v>
      </c>
      <c r="BU82" s="271"/>
      <c r="BV82" s="271"/>
      <c r="BW82" s="97">
        <f t="shared" si="47"/>
        <v>1742122.5023181995</v>
      </c>
      <c r="BX82" s="384"/>
      <c r="BY82" s="326"/>
      <c r="BZ82" s="325"/>
      <c r="CA82" s="325"/>
      <c r="CB82" s="97"/>
      <c r="CC82" s="325"/>
      <c r="CD82" s="326"/>
      <c r="CE82" s="326"/>
      <c r="CF82" s="326"/>
      <c r="CG82" s="325"/>
      <c r="CH82" s="325"/>
      <c r="CI82" s="97"/>
      <c r="CJ82" s="325"/>
      <c r="CK82" s="326"/>
      <c r="CL82" s="326"/>
      <c r="CM82" s="326"/>
      <c r="CN82" s="325"/>
      <c r="CO82" s="325"/>
      <c r="CP82" s="97"/>
      <c r="CQ82" s="325"/>
      <c r="CR82" s="326"/>
      <c r="CS82" s="326"/>
      <c r="CT82" s="326"/>
      <c r="CU82" s="325"/>
      <c r="CV82" s="325"/>
      <c r="CW82" s="97"/>
      <c r="CX82" s="325"/>
      <c r="CY82" s="326"/>
      <c r="CZ82" s="326"/>
      <c r="DA82" s="326"/>
      <c r="DB82" s="325"/>
      <c r="DC82" s="325"/>
      <c r="DD82" s="97"/>
      <c r="DE82" s="325"/>
      <c r="DF82" s="326"/>
      <c r="DG82" s="326"/>
      <c r="DH82" s="326"/>
      <c r="DI82" s="325"/>
      <c r="DJ82" s="325"/>
      <c r="DK82" s="97"/>
      <c r="DL82" s="325"/>
      <c r="DM82" s="326"/>
      <c r="DN82" s="326"/>
    </row>
    <row r="83" spans="1:118" s="376" customFormat="1" ht="63.75">
      <c r="B83" s="535"/>
      <c r="C83" s="527"/>
      <c r="D83" s="233" t="s">
        <v>1394</v>
      </c>
      <c r="E83" s="432">
        <v>8.0000000000000002E-3</v>
      </c>
      <c r="F83" s="438" t="s">
        <v>90</v>
      </c>
      <c r="G83" s="396" t="s">
        <v>1007</v>
      </c>
      <c r="H83" s="396" t="s">
        <v>1008</v>
      </c>
      <c r="I83" s="392" t="s">
        <v>1009</v>
      </c>
      <c r="J83" s="385" t="s">
        <v>1010</v>
      </c>
      <c r="K83" s="362">
        <v>44713</v>
      </c>
      <c r="L83" s="156">
        <v>47848</v>
      </c>
      <c r="M83" s="396" t="s">
        <v>97</v>
      </c>
      <c r="N83" s="396" t="s">
        <v>1011</v>
      </c>
      <c r="O83" s="396" t="s">
        <v>1012</v>
      </c>
      <c r="P83" s="316" t="s">
        <v>87</v>
      </c>
      <c r="Q83" s="322">
        <v>0.39</v>
      </c>
      <c r="R83" s="397">
        <v>2021</v>
      </c>
      <c r="S83" s="398">
        <v>0.39500000000000002</v>
      </c>
      <c r="T83" s="398">
        <v>0.4</v>
      </c>
      <c r="U83" s="398">
        <v>0.40500000000000003</v>
      </c>
      <c r="V83" s="398">
        <v>0.41</v>
      </c>
      <c r="W83" s="398">
        <v>0.41499999999999998</v>
      </c>
      <c r="X83" s="398">
        <v>0.42</v>
      </c>
      <c r="Y83" s="398">
        <v>0.42499999999999999</v>
      </c>
      <c r="Z83" s="398">
        <v>0.43</v>
      </c>
      <c r="AA83" s="398">
        <v>0.435</v>
      </c>
      <c r="AB83" s="398">
        <v>0.435</v>
      </c>
      <c r="AC83" s="328">
        <v>2070</v>
      </c>
      <c r="AD83" s="328">
        <v>2070</v>
      </c>
      <c r="AE83" s="328">
        <v>2070</v>
      </c>
      <c r="AF83" s="328">
        <v>2070</v>
      </c>
      <c r="AG83" s="328">
        <v>2070</v>
      </c>
      <c r="AH83" s="328">
        <v>2070</v>
      </c>
      <c r="AI83" s="328">
        <v>2070</v>
      </c>
      <c r="AJ83" s="328">
        <v>2070</v>
      </c>
      <c r="AK83" s="328">
        <v>2070</v>
      </c>
      <c r="AL83" s="387">
        <f t="shared" si="46"/>
        <v>18630</v>
      </c>
      <c r="AM83" s="271">
        <v>2070</v>
      </c>
      <c r="AN83" s="272" t="s">
        <v>114</v>
      </c>
      <c r="AO83" s="273"/>
      <c r="AP83" s="272"/>
      <c r="AQ83" s="271">
        <v>2070</v>
      </c>
      <c r="AR83" s="272" t="s">
        <v>114</v>
      </c>
      <c r="AS83" s="273"/>
      <c r="AT83" s="272"/>
      <c r="AU83" s="271">
        <v>2070</v>
      </c>
      <c r="AV83" s="272" t="s">
        <v>114</v>
      </c>
      <c r="AW83" s="273"/>
      <c r="AX83" s="272"/>
      <c r="AY83" s="271">
        <v>2070</v>
      </c>
      <c r="AZ83" s="272" t="s">
        <v>114</v>
      </c>
      <c r="BA83" s="273"/>
      <c r="BB83" s="273"/>
      <c r="BC83" s="271">
        <v>2070</v>
      </c>
      <c r="BD83" s="272" t="s">
        <v>114</v>
      </c>
      <c r="BE83" s="321"/>
      <c r="BF83" s="194"/>
      <c r="BG83" s="271">
        <v>2070</v>
      </c>
      <c r="BH83" s="272" t="s">
        <v>114</v>
      </c>
      <c r="BI83" s="321"/>
      <c r="BJ83" s="194"/>
      <c r="BK83" s="271">
        <v>2070</v>
      </c>
      <c r="BL83" s="272" t="s">
        <v>114</v>
      </c>
      <c r="BM83" s="321"/>
      <c r="BN83" s="194"/>
      <c r="BO83" s="271">
        <v>2070</v>
      </c>
      <c r="BP83" s="272" t="s">
        <v>114</v>
      </c>
      <c r="BQ83" s="321"/>
      <c r="BR83" s="194"/>
      <c r="BS83" s="271">
        <v>2070</v>
      </c>
      <c r="BT83" s="272" t="s">
        <v>114</v>
      </c>
      <c r="BU83" s="190"/>
      <c r="BV83" s="194"/>
      <c r="BW83" s="97">
        <f t="shared" si="47"/>
        <v>18630</v>
      </c>
      <c r="BX83" s="384"/>
      <c r="BY83" s="326"/>
      <c r="BZ83" s="325"/>
      <c r="CA83" s="325"/>
      <c r="CB83" s="97"/>
      <c r="CC83" s="325"/>
      <c r="CD83" s="326"/>
      <c r="CE83" s="326"/>
      <c r="CF83" s="326"/>
      <c r="CG83" s="325"/>
      <c r="CH83" s="325"/>
      <c r="CI83" s="97"/>
      <c r="CJ83" s="325"/>
      <c r="CK83" s="326"/>
      <c r="CL83" s="326"/>
      <c r="CM83" s="326"/>
      <c r="CN83" s="325"/>
      <c r="CO83" s="325"/>
      <c r="CP83" s="97"/>
      <c r="CQ83" s="325"/>
      <c r="CR83" s="326"/>
      <c r="CS83" s="326"/>
      <c r="CT83" s="326"/>
      <c r="CU83" s="325"/>
      <c r="CV83" s="325"/>
      <c r="CW83" s="97"/>
      <c r="CX83" s="325"/>
      <c r="CY83" s="326"/>
      <c r="CZ83" s="326"/>
      <c r="DA83" s="326"/>
      <c r="DB83" s="325"/>
      <c r="DC83" s="325"/>
      <c r="DD83" s="97"/>
      <c r="DE83" s="325"/>
      <c r="DF83" s="326"/>
      <c r="DG83" s="326"/>
      <c r="DH83" s="326"/>
      <c r="DI83" s="325"/>
      <c r="DJ83" s="325"/>
      <c r="DK83" s="97"/>
      <c r="DL83" s="325"/>
      <c r="DM83" s="326"/>
      <c r="DN83" s="326"/>
    </row>
    <row r="84" spans="1:118" s="376" customFormat="1" ht="63.75">
      <c r="B84" s="535"/>
      <c r="C84" s="527"/>
      <c r="D84" s="366" t="s">
        <v>1395</v>
      </c>
      <c r="E84" s="432">
        <v>1E-3</v>
      </c>
      <c r="F84" s="438" t="s">
        <v>90</v>
      </c>
      <c r="G84" s="316" t="s">
        <v>344</v>
      </c>
      <c r="H84" s="316" t="s">
        <v>336</v>
      </c>
      <c r="I84" s="316" t="s">
        <v>360</v>
      </c>
      <c r="J84" s="385" t="s">
        <v>338</v>
      </c>
      <c r="K84" s="362">
        <v>44713</v>
      </c>
      <c r="L84" s="362">
        <v>47848</v>
      </c>
      <c r="M84" s="338" t="s">
        <v>97</v>
      </c>
      <c r="N84" s="316" t="s">
        <v>361</v>
      </c>
      <c r="O84" s="316" t="s">
        <v>1013</v>
      </c>
      <c r="P84" s="316" t="s">
        <v>87</v>
      </c>
      <c r="Q84" s="386">
        <v>2835</v>
      </c>
      <c r="R84" s="316">
        <v>2021</v>
      </c>
      <c r="S84" s="338">
        <v>900</v>
      </c>
      <c r="T84" s="391">
        <v>2900</v>
      </c>
      <c r="U84" s="391">
        <v>4900</v>
      </c>
      <c r="V84" s="391">
        <v>6900</v>
      </c>
      <c r="W84" s="391">
        <v>8900</v>
      </c>
      <c r="X84" s="391">
        <v>10900</v>
      </c>
      <c r="Y84" s="391">
        <v>12900</v>
      </c>
      <c r="Z84" s="391">
        <v>14900</v>
      </c>
      <c r="AA84" s="391">
        <v>16900</v>
      </c>
      <c r="AB84" s="391">
        <f>+AA84</f>
        <v>16900</v>
      </c>
      <c r="AC84" s="334"/>
      <c r="AD84" s="334">
        <v>15000</v>
      </c>
      <c r="AE84" s="333">
        <v>168</v>
      </c>
      <c r="AF84" s="333">
        <v>174</v>
      </c>
      <c r="AG84" s="333">
        <v>260</v>
      </c>
      <c r="AH84" s="333">
        <v>210</v>
      </c>
      <c r="AI84" s="333">
        <v>218</v>
      </c>
      <c r="AJ84" s="333">
        <v>227</v>
      </c>
      <c r="AK84" s="333">
        <v>248</v>
      </c>
      <c r="AL84" s="387">
        <f t="shared" si="46"/>
        <v>16505</v>
      </c>
      <c r="AM84" s="344"/>
      <c r="AN84" s="316"/>
      <c r="AO84" s="316"/>
      <c r="AP84" s="395"/>
      <c r="AQ84" s="344">
        <f>+AD84</f>
        <v>15000</v>
      </c>
      <c r="AR84" s="316" t="s">
        <v>80</v>
      </c>
      <c r="AS84" s="316"/>
      <c r="AT84" s="316"/>
      <c r="AU84" s="344">
        <f>+AE84</f>
        <v>168</v>
      </c>
      <c r="AV84" s="316" t="s">
        <v>80</v>
      </c>
      <c r="AW84" s="316"/>
      <c r="AX84" s="316"/>
      <c r="AY84" s="344">
        <v>174</v>
      </c>
      <c r="AZ84" s="316" t="s">
        <v>80</v>
      </c>
      <c r="BA84" s="316"/>
      <c r="BB84" s="316"/>
      <c r="BC84" s="344">
        <v>260</v>
      </c>
      <c r="BD84" s="316" t="s">
        <v>80</v>
      </c>
      <c r="BE84" s="316"/>
      <c r="BF84" s="316"/>
      <c r="BG84" s="344">
        <v>210</v>
      </c>
      <c r="BH84" s="316" t="s">
        <v>80</v>
      </c>
      <c r="BI84" s="316"/>
      <c r="BJ84" s="316"/>
      <c r="BK84" s="345">
        <v>218</v>
      </c>
      <c r="BL84" s="316" t="s">
        <v>80</v>
      </c>
      <c r="BM84" s="316"/>
      <c r="BN84" s="316"/>
      <c r="BO84" s="345">
        <v>227</v>
      </c>
      <c r="BP84" s="316" t="s">
        <v>80</v>
      </c>
      <c r="BQ84" s="316"/>
      <c r="BR84" s="316"/>
      <c r="BS84" s="345">
        <v>248</v>
      </c>
      <c r="BT84" s="316" t="s">
        <v>80</v>
      </c>
      <c r="BU84" s="316"/>
      <c r="BV84" s="316"/>
      <c r="BW84" s="97">
        <f t="shared" si="47"/>
        <v>16505</v>
      </c>
      <c r="BX84" s="384"/>
      <c r="BY84" s="326"/>
      <c r="BZ84" s="325"/>
      <c r="CA84" s="325"/>
      <c r="CB84" s="97"/>
      <c r="CC84" s="325"/>
      <c r="CD84" s="326"/>
      <c r="CE84" s="326"/>
      <c r="CF84" s="326"/>
      <c r="CG84" s="325"/>
      <c r="CH84" s="325"/>
      <c r="CI84" s="97"/>
      <c r="CJ84" s="325"/>
      <c r="CK84" s="326"/>
      <c r="CL84" s="326"/>
      <c r="CM84" s="326"/>
      <c r="CN84" s="325"/>
      <c r="CO84" s="325"/>
      <c r="CP84" s="97"/>
      <c r="CQ84" s="325"/>
      <c r="CR84" s="326"/>
      <c r="CS84" s="326"/>
      <c r="CT84" s="326"/>
      <c r="CU84" s="325"/>
      <c r="CV84" s="325"/>
      <c r="CW84" s="97"/>
      <c r="CX84" s="325"/>
      <c r="CY84" s="326"/>
      <c r="CZ84" s="326"/>
      <c r="DA84" s="326"/>
      <c r="DB84" s="325"/>
      <c r="DC84" s="325"/>
      <c r="DD84" s="97"/>
      <c r="DE84" s="325"/>
      <c r="DF84" s="326"/>
      <c r="DG84" s="326"/>
      <c r="DH84" s="326"/>
      <c r="DI84" s="325"/>
      <c r="DJ84" s="325"/>
      <c r="DK84" s="97"/>
      <c r="DL84" s="325"/>
      <c r="DM84" s="326"/>
      <c r="DN84" s="326"/>
    </row>
    <row r="85" spans="1:118" s="376" customFormat="1" ht="63.75">
      <c r="B85" s="535"/>
      <c r="C85" s="527"/>
      <c r="D85" s="233" t="s">
        <v>1396</v>
      </c>
      <c r="E85" s="432">
        <v>1E-3</v>
      </c>
      <c r="F85" s="438" t="s">
        <v>90</v>
      </c>
      <c r="G85" s="314" t="s">
        <v>276</v>
      </c>
      <c r="H85" s="316" t="s">
        <v>362</v>
      </c>
      <c r="I85" s="316" t="s">
        <v>363</v>
      </c>
      <c r="J85" s="385" t="s">
        <v>364</v>
      </c>
      <c r="K85" s="362">
        <v>44835</v>
      </c>
      <c r="L85" s="156">
        <v>47848</v>
      </c>
      <c r="M85" s="316" t="s">
        <v>97</v>
      </c>
      <c r="N85" s="316" t="s">
        <v>365</v>
      </c>
      <c r="O85" s="316" t="s">
        <v>366</v>
      </c>
      <c r="P85" s="316" t="s">
        <v>87</v>
      </c>
      <c r="Q85" s="367">
        <v>0.15</v>
      </c>
      <c r="R85" s="316">
        <v>2021</v>
      </c>
      <c r="S85" s="367">
        <v>0.15</v>
      </c>
      <c r="T85" s="235">
        <v>0.2</v>
      </c>
      <c r="U85" s="235">
        <v>0.25</v>
      </c>
      <c r="V85" s="235">
        <v>0.3</v>
      </c>
      <c r="W85" s="235">
        <v>0.35</v>
      </c>
      <c r="X85" s="235">
        <v>0.4</v>
      </c>
      <c r="Y85" s="235">
        <v>0.45</v>
      </c>
      <c r="Z85" s="235">
        <v>0.5</v>
      </c>
      <c r="AA85" s="235">
        <v>0.55000000000000004</v>
      </c>
      <c r="AB85" s="367">
        <v>0.55000000000000004</v>
      </c>
      <c r="AC85" s="333">
        <v>1163.1189466609287</v>
      </c>
      <c r="AD85" s="333">
        <v>20058.255561442464</v>
      </c>
      <c r="AE85" s="333">
        <v>21185.52952399553</v>
      </c>
      <c r="AF85" s="333">
        <v>22376.15628324408</v>
      </c>
      <c r="AG85" s="333">
        <v>23633.6962663624</v>
      </c>
      <c r="AH85" s="333">
        <v>24961.909996531966</v>
      </c>
      <c r="AI85" s="333">
        <v>26364.769338337064</v>
      </c>
      <c r="AJ85" s="333">
        <v>27846.469375151606</v>
      </c>
      <c r="AK85" s="333">
        <v>27610.110317437695</v>
      </c>
      <c r="AL85" s="387">
        <f t="shared" si="46"/>
        <v>195200.01560916376</v>
      </c>
      <c r="AM85" s="400">
        <f>AC85</f>
        <v>1163.1189466609287</v>
      </c>
      <c r="AN85" s="316" t="s">
        <v>114</v>
      </c>
      <c r="AO85" s="338"/>
      <c r="AP85" s="338"/>
      <c r="AQ85" s="400">
        <f>AD85</f>
        <v>20058.255561442464</v>
      </c>
      <c r="AR85" s="316" t="s">
        <v>114</v>
      </c>
      <c r="AS85" s="338"/>
      <c r="AT85" s="338"/>
      <c r="AU85" s="400">
        <f>AE85</f>
        <v>21185.52952399553</v>
      </c>
      <c r="AV85" s="316" t="s">
        <v>114</v>
      </c>
      <c r="AW85" s="220"/>
      <c r="AX85" s="221"/>
      <c r="AY85" s="220">
        <f>AF85</f>
        <v>22376.15628324408</v>
      </c>
      <c r="AZ85" s="221" t="s">
        <v>114</v>
      </c>
      <c r="BA85" s="220"/>
      <c r="BB85" s="221"/>
      <c r="BC85" s="220">
        <f>AG85</f>
        <v>23633.6962663624</v>
      </c>
      <c r="BD85" s="221" t="s">
        <v>114</v>
      </c>
      <c r="BE85" s="220"/>
      <c r="BF85" s="221"/>
      <c r="BG85" s="220">
        <f>AH85</f>
        <v>24961.909996531966</v>
      </c>
      <c r="BH85" s="221" t="s">
        <v>114</v>
      </c>
      <c r="BI85" s="220"/>
      <c r="BJ85" s="221"/>
      <c r="BK85" s="220">
        <f>AI85</f>
        <v>26364.769338337064</v>
      </c>
      <c r="BL85" s="221" t="s">
        <v>114</v>
      </c>
      <c r="BM85" s="220"/>
      <c r="BN85" s="221"/>
      <c r="BO85" s="220">
        <f>AJ85</f>
        <v>27846.469375151606</v>
      </c>
      <c r="BP85" s="221" t="s">
        <v>114</v>
      </c>
      <c r="BQ85" s="220"/>
      <c r="BR85" s="221"/>
      <c r="BS85" s="220">
        <f>AK85</f>
        <v>27610.110317437695</v>
      </c>
      <c r="BT85" s="221" t="s">
        <v>114</v>
      </c>
      <c r="BU85" s="220"/>
      <c r="BV85" s="221"/>
      <c r="BW85" s="97">
        <f t="shared" si="47"/>
        <v>195200.01560916376</v>
      </c>
      <c r="BX85" s="384"/>
      <c r="BY85" s="326"/>
      <c r="BZ85" s="325"/>
      <c r="CA85" s="325"/>
      <c r="CB85" s="97"/>
      <c r="CC85" s="325"/>
      <c r="CD85" s="326"/>
      <c r="CE85" s="326"/>
      <c r="CF85" s="326"/>
      <c r="CG85" s="325"/>
      <c r="CH85" s="325"/>
      <c r="CI85" s="97"/>
      <c r="CJ85" s="325"/>
      <c r="CK85" s="326"/>
      <c r="CL85" s="326"/>
      <c r="CM85" s="326"/>
      <c r="CN85" s="325"/>
      <c r="CO85" s="325"/>
      <c r="CP85" s="97"/>
      <c r="CQ85" s="325"/>
      <c r="CR85" s="326"/>
      <c r="CS85" s="326"/>
      <c r="CT85" s="326"/>
      <c r="CU85" s="325"/>
      <c r="CV85" s="325"/>
      <c r="CW85" s="97"/>
      <c r="CX85" s="325"/>
      <c r="CY85" s="326"/>
      <c r="CZ85" s="326"/>
      <c r="DA85" s="326"/>
      <c r="DB85" s="325"/>
      <c r="DC85" s="325"/>
      <c r="DD85" s="97"/>
      <c r="DE85" s="325"/>
      <c r="DF85" s="326"/>
      <c r="DG85" s="326"/>
      <c r="DH85" s="326"/>
      <c r="DI85" s="325"/>
      <c r="DJ85" s="325"/>
      <c r="DK85" s="97"/>
      <c r="DL85" s="325"/>
      <c r="DM85" s="326"/>
      <c r="DN85" s="326"/>
    </row>
    <row r="86" spans="1:118" s="376" customFormat="1" ht="102">
      <c r="B86" s="535"/>
      <c r="C86" s="527"/>
      <c r="D86" s="366" t="s">
        <v>1397</v>
      </c>
      <c r="E86" s="432">
        <v>1E-3</v>
      </c>
      <c r="F86" s="438" t="s">
        <v>90</v>
      </c>
      <c r="G86" s="316" t="s">
        <v>367</v>
      </c>
      <c r="H86" s="316" t="s">
        <v>1225</v>
      </c>
      <c r="I86" s="316" t="s">
        <v>972</v>
      </c>
      <c r="J86" s="385" t="s">
        <v>1014</v>
      </c>
      <c r="K86" s="362">
        <v>44941</v>
      </c>
      <c r="L86" s="362">
        <v>47117</v>
      </c>
      <c r="M86" s="316" t="s">
        <v>97</v>
      </c>
      <c r="N86" s="316" t="s">
        <v>368</v>
      </c>
      <c r="O86" s="316" t="s">
        <v>369</v>
      </c>
      <c r="P86" s="316" t="s">
        <v>87</v>
      </c>
      <c r="Q86" s="390">
        <v>0</v>
      </c>
      <c r="R86" s="338">
        <v>2022</v>
      </c>
      <c r="S86" s="338" t="s">
        <v>81</v>
      </c>
      <c r="T86" s="372">
        <v>0.1</v>
      </c>
      <c r="U86" s="372">
        <v>0.2</v>
      </c>
      <c r="V86" s="372">
        <v>0.45</v>
      </c>
      <c r="W86" s="372">
        <v>0.7</v>
      </c>
      <c r="X86" s="372">
        <v>0.85</v>
      </c>
      <c r="Y86" s="372">
        <v>1</v>
      </c>
      <c r="Z86" s="372"/>
      <c r="AA86" s="372"/>
      <c r="AB86" s="372">
        <v>1</v>
      </c>
      <c r="AC86" s="333" t="s">
        <v>81</v>
      </c>
      <c r="AD86" s="333">
        <v>10</v>
      </c>
      <c r="AE86" s="333">
        <v>10</v>
      </c>
      <c r="AF86" s="333">
        <v>100</v>
      </c>
      <c r="AG86" s="333">
        <v>30</v>
      </c>
      <c r="AH86" s="333">
        <v>30</v>
      </c>
      <c r="AI86" s="333">
        <v>20</v>
      </c>
      <c r="AJ86" s="333" t="s">
        <v>81</v>
      </c>
      <c r="AK86" s="333" t="s">
        <v>81</v>
      </c>
      <c r="AL86" s="387">
        <f t="shared" si="46"/>
        <v>200</v>
      </c>
      <c r="AM86" s="316" t="s">
        <v>81</v>
      </c>
      <c r="AN86" s="338" t="s">
        <v>81</v>
      </c>
      <c r="AO86" s="316" t="s">
        <v>81</v>
      </c>
      <c r="AP86" s="338" t="s">
        <v>81</v>
      </c>
      <c r="AQ86" s="461">
        <v>10</v>
      </c>
      <c r="AR86" s="338" t="s">
        <v>80</v>
      </c>
      <c r="AS86" s="316" t="s">
        <v>81</v>
      </c>
      <c r="AT86" s="338" t="s">
        <v>81</v>
      </c>
      <c r="AU86" s="461">
        <v>10</v>
      </c>
      <c r="AV86" s="338" t="s">
        <v>80</v>
      </c>
      <c r="AW86" s="316" t="s">
        <v>81</v>
      </c>
      <c r="AX86" s="338" t="s">
        <v>81</v>
      </c>
      <c r="AY86" s="461">
        <v>100</v>
      </c>
      <c r="AZ86" s="338" t="s">
        <v>80</v>
      </c>
      <c r="BA86" s="316" t="s">
        <v>81</v>
      </c>
      <c r="BB86" s="338" t="s">
        <v>81</v>
      </c>
      <c r="BC86" s="461">
        <v>30</v>
      </c>
      <c r="BD86" s="338" t="s">
        <v>80</v>
      </c>
      <c r="BE86" s="316" t="s">
        <v>81</v>
      </c>
      <c r="BF86" s="338" t="s">
        <v>81</v>
      </c>
      <c r="BG86" s="461">
        <v>30</v>
      </c>
      <c r="BH86" s="338" t="s">
        <v>80</v>
      </c>
      <c r="BI86" s="316" t="s">
        <v>81</v>
      </c>
      <c r="BJ86" s="338" t="s">
        <v>81</v>
      </c>
      <c r="BK86" s="461">
        <v>20</v>
      </c>
      <c r="BL86" s="338" t="s">
        <v>80</v>
      </c>
      <c r="BM86" s="316" t="s">
        <v>81</v>
      </c>
      <c r="BN86" s="338" t="s">
        <v>81</v>
      </c>
      <c r="BO86" s="316" t="s">
        <v>81</v>
      </c>
      <c r="BP86" s="338" t="s">
        <v>81</v>
      </c>
      <c r="BQ86" s="316" t="s">
        <v>81</v>
      </c>
      <c r="BR86" s="338" t="s">
        <v>81</v>
      </c>
      <c r="BS86" s="316" t="s">
        <v>81</v>
      </c>
      <c r="BT86" s="338" t="s">
        <v>81</v>
      </c>
      <c r="BU86" s="316" t="s">
        <v>81</v>
      </c>
      <c r="BV86" s="338" t="s">
        <v>81</v>
      </c>
      <c r="BW86" s="97">
        <f t="shared" si="47"/>
        <v>200</v>
      </c>
      <c r="BX86" s="384"/>
      <c r="BY86" s="326"/>
      <c r="BZ86" s="325"/>
      <c r="CA86" s="325"/>
      <c r="CB86" s="97"/>
      <c r="CC86" s="325"/>
      <c r="CD86" s="326"/>
      <c r="CE86" s="326"/>
      <c r="CF86" s="326"/>
      <c r="CG86" s="325"/>
      <c r="CH86" s="325"/>
      <c r="CI86" s="97"/>
      <c r="CJ86" s="325"/>
      <c r="CK86" s="326"/>
      <c r="CL86" s="326"/>
      <c r="CM86" s="326"/>
      <c r="CN86" s="325"/>
      <c r="CO86" s="325"/>
      <c r="CP86" s="97"/>
      <c r="CQ86" s="325"/>
      <c r="CR86" s="326"/>
      <c r="CS86" s="326"/>
      <c r="CT86" s="326"/>
      <c r="CU86" s="325"/>
      <c r="CV86" s="325"/>
      <c r="CW86" s="97"/>
      <c r="CX86" s="325"/>
      <c r="CY86" s="326"/>
      <c r="CZ86" s="326"/>
      <c r="DA86" s="326"/>
      <c r="DB86" s="325"/>
      <c r="DC86" s="325"/>
      <c r="DD86" s="97"/>
      <c r="DE86" s="325"/>
      <c r="DF86" s="326"/>
      <c r="DG86" s="326"/>
      <c r="DH86" s="326"/>
      <c r="DI86" s="325"/>
      <c r="DJ86" s="325"/>
      <c r="DK86" s="97"/>
      <c r="DL86" s="325"/>
      <c r="DM86" s="326"/>
      <c r="DN86" s="326"/>
    </row>
    <row r="87" spans="1:118" s="376" customFormat="1" ht="51">
      <c r="B87" s="535"/>
      <c r="C87" s="527"/>
      <c r="D87" s="233" t="s">
        <v>1398</v>
      </c>
      <c r="E87" s="431">
        <v>1E-3</v>
      </c>
      <c r="F87" s="438" t="s">
        <v>90</v>
      </c>
      <c r="G87" s="314" t="s">
        <v>291</v>
      </c>
      <c r="H87" s="438" t="s">
        <v>370</v>
      </c>
      <c r="I87" s="438" t="s">
        <v>371</v>
      </c>
      <c r="J87" s="385" t="s">
        <v>372</v>
      </c>
      <c r="K87" s="375">
        <v>44743</v>
      </c>
      <c r="L87" s="156">
        <v>47848</v>
      </c>
      <c r="M87" s="361" t="s">
        <v>97</v>
      </c>
      <c r="N87" s="315" t="s">
        <v>373</v>
      </c>
      <c r="O87" s="315" t="s">
        <v>374</v>
      </c>
      <c r="P87" s="315" t="s">
        <v>87</v>
      </c>
      <c r="Q87" s="236">
        <v>0</v>
      </c>
      <c r="R87" s="216">
        <v>2022</v>
      </c>
      <c r="S87" s="194">
        <v>896</v>
      </c>
      <c r="T87" s="194">
        <v>1641</v>
      </c>
      <c r="U87" s="194">
        <v>2380</v>
      </c>
      <c r="V87" s="194">
        <v>3112</v>
      </c>
      <c r="W87" s="194">
        <v>3837</v>
      </c>
      <c r="X87" s="194">
        <v>4555</v>
      </c>
      <c r="Y87" s="194">
        <v>5266</v>
      </c>
      <c r="Z87" s="194">
        <v>5970</v>
      </c>
      <c r="AA87" s="194">
        <v>6668</v>
      </c>
      <c r="AB87" s="194">
        <v>6668</v>
      </c>
      <c r="AC87" s="328">
        <v>62720</v>
      </c>
      <c r="AD87" s="328">
        <v>54757.5</v>
      </c>
      <c r="AE87" s="328">
        <v>57032.324999999997</v>
      </c>
      <c r="AF87" s="328">
        <v>59316.705000000002</v>
      </c>
      <c r="AG87" s="328">
        <v>61686.942188000001</v>
      </c>
      <c r="AH87" s="328">
        <v>64145.911331000003</v>
      </c>
      <c r="AI87" s="328">
        <v>66696.560033999995</v>
      </c>
      <c r="AJ87" s="328">
        <v>69341.908829000007</v>
      </c>
      <c r="AK87" s="328">
        <v>72188.472984000007</v>
      </c>
      <c r="AL87" s="387">
        <f t="shared" si="46"/>
        <v>567886.32536600006</v>
      </c>
      <c r="AM87" s="256">
        <v>62720</v>
      </c>
      <c r="AN87" s="396" t="s">
        <v>114</v>
      </c>
      <c r="AO87" s="396" t="s">
        <v>81</v>
      </c>
      <c r="AP87" s="396" t="s">
        <v>81</v>
      </c>
      <c r="AQ87" s="256">
        <v>54757.5</v>
      </c>
      <c r="AR87" s="396" t="s">
        <v>114</v>
      </c>
      <c r="AS87" s="396" t="s">
        <v>81</v>
      </c>
      <c r="AT87" s="396" t="s">
        <v>81</v>
      </c>
      <c r="AU87" s="256">
        <v>57032.324999999997</v>
      </c>
      <c r="AV87" s="396" t="s">
        <v>114</v>
      </c>
      <c r="AW87" s="396" t="s">
        <v>81</v>
      </c>
      <c r="AX87" s="396" t="s">
        <v>81</v>
      </c>
      <c r="AY87" s="256">
        <v>59316.705000000002</v>
      </c>
      <c r="AZ87" s="396" t="s">
        <v>114</v>
      </c>
      <c r="BA87" s="396" t="s">
        <v>81</v>
      </c>
      <c r="BB87" s="396" t="s">
        <v>81</v>
      </c>
      <c r="BC87" s="256">
        <v>61686.942188000001</v>
      </c>
      <c r="BD87" s="396" t="s">
        <v>114</v>
      </c>
      <c r="BE87" s="396" t="s">
        <v>81</v>
      </c>
      <c r="BF87" s="396" t="s">
        <v>81</v>
      </c>
      <c r="BG87" s="256">
        <v>64145.911331000003</v>
      </c>
      <c r="BH87" s="396" t="s">
        <v>114</v>
      </c>
      <c r="BI87" s="396" t="s">
        <v>81</v>
      </c>
      <c r="BJ87" s="396" t="s">
        <v>81</v>
      </c>
      <c r="BK87" s="256">
        <v>66696.560033999995</v>
      </c>
      <c r="BL87" s="396" t="s">
        <v>114</v>
      </c>
      <c r="BM87" s="396" t="s">
        <v>81</v>
      </c>
      <c r="BN87" s="396" t="s">
        <v>81</v>
      </c>
      <c r="BO87" s="256">
        <v>69341.908829000007</v>
      </c>
      <c r="BP87" s="396" t="s">
        <v>114</v>
      </c>
      <c r="BQ87" s="396" t="s">
        <v>81</v>
      </c>
      <c r="BR87" s="396" t="s">
        <v>81</v>
      </c>
      <c r="BS87" s="256">
        <v>72188.472984000007</v>
      </c>
      <c r="BT87" s="396" t="s">
        <v>114</v>
      </c>
      <c r="BU87" s="257"/>
      <c r="BV87" s="237"/>
      <c r="BW87" s="97">
        <f t="shared" si="47"/>
        <v>567886.32536600006</v>
      </c>
      <c r="BX87" s="384"/>
      <c r="BY87" s="313"/>
      <c r="BZ87" s="45"/>
      <c r="CA87" s="45"/>
      <c r="CB87" s="97"/>
      <c r="CC87" s="45"/>
      <c r="CD87" s="313"/>
      <c r="CE87" s="313"/>
      <c r="CF87" s="313"/>
      <c r="CG87" s="45"/>
      <c r="CH87" s="45"/>
      <c r="CI87" s="97"/>
      <c r="CJ87" s="45"/>
      <c r="CK87" s="313"/>
      <c r="CL87" s="313"/>
      <c r="CM87" s="313"/>
      <c r="CN87" s="45"/>
      <c r="CO87" s="45"/>
      <c r="CP87" s="97"/>
      <c r="CQ87" s="45"/>
      <c r="CR87" s="313"/>
      <c r="CS87" s="313"/>
      <c r="CT87" s="313"/>
      <c r="CU87" s="45"/>
      <c r="CV87" s="45"/>
      <c r="CW87" s="97"/>
      <c r="CX87" s="45"/>
      <c r="CY87" s="313"/>
      <c r="CZ87" s="313"/>
      <c r="DA87" s="313"/>
      <c r="DB87" s="45"/>
      <c r="DC87" s="45"/>
      <c r="DD87" s="97"/>
      <c r="DE87" s="45"/>
      <c r="DF87" s="313"/>
      <c r="DG87" s="313"/>
      <c r="DH87" s="313"/>
      <c r="DI87" s="45"/>
      <c r="DJ87" s="45"/>
      <c r="DK87" s="97"/>
      <c r="DL87" s="45"/>
      <c r="DM87" s="313"/>
      <c r="DN87" s="313"/>
    </row>
    <row r="88" spans="1:118" s="376" customFormat="1" ht="51">
      <c r="B88" s="535"/>
      <c r="C88" s="527"/>
      <c r="D88" s="233" t="s">
        <v>1399</v>
      </c>
      <c r="E88" s="432">
        <v>1E-3</v>
      </c>
      <c r="F88" s="438" t="s">
        <v>90</v>
      </c>
      <c r="G88" s="314" t="s">
        <v>291</v>
      </c>
      <c r="H88" s="438" t="s">
        <v>370</v>
      </c>
      <c r="I88" s="438" t="s">
        <v>371</v>
      </c>
      <c r="J88" s="385" t="s">
        <v>372</v>
      </c>
      <c r="K88" s="375">
        <v>44743</v>
      </c>
      <c r="L88" s="156">
        <v>47848</v>
      </c>
      <c r="M88" s="361" t="s">
        <v>97</v>
      </c>
      <c r="N88" s="315" t="s">
        <v>375</v>
      </c>
      <c r="O88" s="315" t="s">
        <v>376</v>
      </c>
      <c r="P88" s="315" t="s">
        <v>87</v>
      </c>
      <c r="Q88" s="236">
        <v>0</v>
      </c>
      <c r="R88" s="216">
        <v>2022</v>
      </c>
      <c r="S88" s="194">
        <v>502</v>
      </c>
      <c r="T88" s="194">
        <v>1375</v>
      </c>
      <c r="U88" s="194">
        <v>2239</v>
      </c>
      <c r="V88" s="194">
        <v>3095</v>
      </c>
      <c r="W88" s="194">
        <v>3943</v>
      </c>
      <c r="X88" s="194">
        <v>4783</v>
      </c>
      <c r="Y88" s="194">
        <v>5615</v>
      </c>
      <c r="Z88" s="194">
        <v>6439</v>
      </c>
      <c r="AA88" s="194">
        <v>7254</v>
      </c>
      <c r="AB88" s="194">
        <v>7254</v>
      </c>
      <c r="AC88" s="328">
        <v>11044</v>
      </c>
      <c r="AD88" s="328">
        <v>20166.3</v>
      </c>
      <c r="AE88" s="328">
        <v>20956.32</v>
      </c>
      <c r="AF88" s="328">
        <v>21800.394</v>
      </c>
      <c r="AG88" s="328">
        <v>22676.4846</v>
      </c>
      <c r="AH88" s="328">
        <v>23585.683274999999</v>
      </c>
      <c r="AI88" s="328">
        <v>24529.110605999998</v>
      </c>
      <c r="AJ88" s="328">
        <v>25507.916462000001</v>
      </c>
      <c r="AK88" s="328">
        <v>26490.776107000002</v>
      </c>
      <c r="AL88" s="387">
        <f t="shared" si="46"/>
        <v>196756.98504999999</v>
      </c>
      <c r="AM88" s="256">
        <v>11044</v>
      </c>
      <c r="AN88" s="396" t="s">
        <v>114</v>
      </c>
      <c r="AO88" s="396" t="s">
        <v>81</v>
      </c>
      <c r="AP88" s="396" t="s">
        <v>81</v>
      </c>
      <c r="AQ88" s="256">
        <v>20166.3</v>
      </c>
      <c r="AR88" s="396" t="s">
        <v>114</v>
      </c>
      <c r="AS88" s="396" t="s">
        <v>81</v>
      </c>
      <c r="AT88" s="396" t="s">
        <v>81</v>
      </c>
      <c r="AU88" s="256">
        <v>20956.32</v>
      </c>
      <c r="AV88" s="396" t="s">
        <v>114</v>
      </c>
      <c r="AW88" s="396" t="s">
        <v>81</v>
      </c>
      <c r="AX88" s="396" t="s">
        <v>81</v>
      </c>
      <c r="AY88" s="256">
        <v>21800.394</v>
      </c>
      <c r="AZ88" s="396" t="s">
        <v>114</v>
      </c>
      <c r="BA88" s="396" t="s">
        <v>81</v>
      </c>
      <c r="BB88" s="396" t="s">
        <v>81</v>
      </c>
      <c r="BC88" s="256">
        <v>22676.4846</v>
      </c>
      <c r="BD88" s="396" t="s">
        <v>114</v>
      </c>
      <c r="BE88" s="396" t="s">
        <v>81</v>
      </c>
      <c r="BF88" s="396" t="s">
        <v>81</v>
      </c>
      <c r="BG88" s="256">
        <v>23585.683274999999</v>
      </c>
      <c r="BH88" s="396" t="s">
        <v>114</v>
      </c>
      <c r="BI88" s="396" t="s">
        <v>81</v>
      </c>
      <c r="BJ88" s="396" t="s">
        <v>81</v>
      </c>
      <c r="BK88" s="256">
        <v>24529.110605999998</v>
      </c>
      <c r="BL88" s="396" t="s">
        <v>114</v>
      </c>
      <c r="BM88" s="396" t="s">
        <v>81</v>
      </c>
      <c r="BN88" s="396" t="s">
        <v>81</v>
      </c>
      <c r="BO88" s="256">
        <v>25507.916462000001</v>
      </c>
      <c r="BP88" s="396" t="s">
        <v>114</v>
      </c>
      <c r="BQ88" s="396" t="s">
        <v>81</v>
      </c>
      <c r="BR88" s="396" t="s">
        <v>81</v>
      </c>
      <c r="BS88" s="256">
        <v>26490.776107000002</v>
      </c>
      <c r="BT88" s="396" t="s">
        <v>114</v>
      </c>
      <c r="BU88" s="257"/>
      <c r="BV88" s="237"/>
      <c r="BW88" s="97">
        <f t="shared" si="47"/>
        <v>196756.98504999999</v>
      </c>
      <c r="BX88" s="384"/>
      <c r="BY88" s="326"/>
      <c r="BZ88" s="325"/>
      <c r="CA88" s="325"/>
      <c r="CB88" s="97"/>
      <c r="CC88" s="325"/>
      <c r="CD88" s="326"/>
      <c r="CE88" s="326"/>
      <c r="CF88" s="326"/>
      <c r="CG88" s="325"/>
      <c r="CH88" s="325"/>
      <c r="CI88" s="97"/>
      <c r="CJ88" s="325"/>
      <c r="CK88" s="326"/>
      <c r="CL88" s="326"/>
      <c r="CM88" s="326"/>
      <c r="CN88" s="325"/>
      <c r="CO88" s="325"/>
      <c r="CP88" s="97"/>
      <c r="CQ88" s="325"/>
      <c r="CR88" s="326"/>
      <c r="CS88" s="326"/>
      <c r="CT88" s="326"/>
      <c r="CU88" s="325"/>
      <c r="CV88" s="325"/>
      <c r="CW88" s="97"/>
      <c r="CX88" s="325"/>
      <c r="CY88" s="326"/>
      <c r="CZ88" s="326"/>
      <c r="DA88" s="326"/>
      <c r="DB88" s="325"/>
      <c r="DC88" s="325"/>
      <c r="DD88" s="97"/>
      <c r="DE88" s="325"/>
      <c r="DF88" s="326"/>
      <c r="DG88" s="326"/>
      <c r="DH88" s="326"/>
      <c r="DI88" s="325"/>
      <c r="DJ88" s="325"/>
      <c r="DK88" s="97"/>
      <c r="DL88" s="325"/>
      <c r="DM88" s="326"/>
      <c r="DN88" s="326"/>
    </row>
    <row r="89" spans="1:118" s="376" customFormat="1" ht="78.75" customHeight="1">
      <c r="B89" s="535"/>
      <c r="C89" s="527"/>
      <c r="D89" s="366" t="s">
        <v>1400</v>
      </c>
      <c r="E89" s="432">
        <v>1E-3</v>
      </c>
      <c r="F89" s="438" t="s">
        <v>90</v>
      </c>
      <c r="G89" s="316" t="s">
        <v>379</v>
      </c>
      <c r="H89" s="316" t="s">
        <v>1226</v>
      </c>
      <c r="I89" s="316" t="s">
        <v>380</v>
      </c>
      <c r="J89" s="385" t="s">
        <v>381</v>
      </c>
      <c r="K89" s="362">
        <v>44713</v>
      </c>
      <c r="L89" s="156">
        <v>47848</v>
      </c>
      <c r="M89" s="316" t="s">
        <v>97</v>
      </c>
      <c r="N89" s="316" t="s">
        <v>382</v>
      </c>
      <c r="O89" s="316" t="s">
        <v>1015</v>
      </c>
      <c r="P89" s="316" t="s">
        <v>87</v>
      </c>
      <c r="Q89" s="338">
        <v>4</v>
      </c>
      <c r="R89" s="338">
        <v>2021</v>
      </c>
      <c r="S89" s="338">
        <v>2</v>
      </c>
      <c r="T89" s="338">
        <f t="shared" ref="T89:AA89" si="64">+S89+1</f>
        <v>3</v>
      </c>
      <c r="U89" s="338">
        <f t="shared" si="64"/>
        <v>4</v>
      </c>
      <c r="V89" s="338">
        <f t="shared" si="64"/>
        <v>5</v>
      </c>
      <c r="W89" s="338">
        <f t="shared" si="64"/>
        <v>6</v>
      </c>
      <c r="X89" s="338">
        <f t="shared" si="64"/>
        <v>7</v>
      </c>
      <c r="Y89" s="338">
        <f t="shared" si="64"/>
        <v>8</v>
      </c>
      <c r="Z89" s="338">
        <f t="shared" si="64"/>
        <v>9</v>
      </c>
      <c r="AA89" s="338">
        <f t="shared" si="64"/>
        <v>10</v>
      </c>
      <c r="AB89" s="338">
        <v>10</v>
      </c>
      <c r="AC89" s="462">
        <v>47</v>
      </c>
      <c r="AD89" s="462">
        <v>50</v>
      </c>
      <c r="AE89" s="462">
        <v>50</v>
      </c>
      <c r="AF89" s="462">
        <v>50</v>
      </c>
      <c r="AG89" s="462">
        <v>50</v>
      </c>
      <c r="AH89" s="462">
        <v>50</v>
      </c>
      <c r="AI89" s="462">
        <v>50</v>
      </c>
      <c r="AJ89" s="462">
        <v>50</v>
      </c>
      <c r="AK89" s="462">
        <v>50</v>
      </c>
      <c r="AL89" s="387">
        <f t="shared" si="46"/>
        <v>447</v>
      </c>
      <c r="AM89" s="463">
        <v>47</v>
      </c>
      <c r="AN89" s="316" t="s">
        <v>80</v>
      </c>
      <c r="AO89" s="316" t="s">
        <v>81</v>
      </c>
      <c r="AP89" s="338" t="s">
        <v>81</v>
      </c>
      <c r="AQ89" s="463">
        <v>50</v>
      </c>
      <c r="AR89" s="316" t="s">
        <v>80</v>
      </c>
      <c r="AS89" s="316" t="s">
        <v>81</v>
      </c>
      <c r="AT89" s="338" t="s">
        <v>81</v>
      </c>
      <c r="AU89" s="463">
        <v>50</v>
      </c>
      <c r="AV89" s="316" t="s">
        <v>80</v>
      </c>
      <c r="AW89" s="316" t="s">
        <v>81</v>
      </c>
      <c r="AX89" s="338" t="s">
        <v>81</v>
      </c>
      <c r="AY89" s="463">
        <v>50</v>
      </c>
      <c r="AZ89" s="316" t="s">
        <v>80</v>
      </c>
      <c r="BA89" s="338"/>
      <c r="BB89" s="338" t="s">
        <v>81</v>
      </c>
      <c r="BC89" s="463">
        <v>50</v>
      </c>
      <c r="BD89" s="316" t="s">
        <v>80</v>
      </c>
      <c r="BE89" s="338"/>
      <c r="BF89" s="338" t="s">
        <v>81</v>
      </c>
      <c r="BG89" s="463">
        <v>50</v>
      </c>
      <c r="BH89" s="316" t="s">
        <v>80</v>
      </c>
      <c r="BI89" s="338"/>
      <c r="BJ89" s="338" t="s">
        <v>81</v>
      </c>
      <c r="BK89" s="463">
        <v>50</v>
      </c>
      <c r="BL89" s="316" t="s">
        <v>80</v>
      </c>
      <c r="BM89" s="338"/>
      <c r="BN89" s="338" t="s">
        <v>81</v>
      </c>
      <c r="BO89" s="463">
        <v>50</v>
      </c>
      <c r="BP89" s="316" t="s">
        <v>80</v>
      </c>
      <c r="BQ89" s="338"/>
      <c r="BR89" s="338" t="s">
        <v>81</v>
      </c>
      <c r="BS89" s="463">
        <v>50</v>
      </c>
      <c r="BT89" s="316" t="s">
        <v>80</v>
      </c>
      <c r="BU89" s="338"/>
      <c r="BV89" s="338" t="s">
        <v>81</v>
      </c>
      <c r="BW89" s="97">
        <f t="shared" si="47"/>
        <v>447</v>
      </c>
      <c r="BX89" s="384"/>
      <c r="BY89" s="326"/>
      <c r="BZ89" s="325"/>
      <c r="CA89" s="325"/>
      <c r="CB89" s="97"/>
      <c r="CC89" s="325"/>
      <c r="CD89" s="326"/>
      <c r="CE89" s="326"/>
      <c r="CF89" s="326"/>
      <c r="CG89" s="325"/>
      <c r="CH89" s="325"/>
      <c r="CI89" s="97"/>
      <c r="CJ89" s="325"/>
      <c r="CK89" s="326"/>
      <c r="CL89" s="326"/>
      <c r="CM89" s="326"/>
      <c r="CN89" s="325"/>
      <c r="CO89" s="325"/>
      <c r="CP89" s="97"/>
      <c r="CQ89" s="325"/>
      <c r="CR89" s="326"/>
      <c r="CS89" s="326"/>
      <c r="CT89" s="326"/>
      <c r="CU89" s="325"/>
      <c r="CV89" s="325"/>
      <c r="CW89" s="97"/>
      <c r="CX89" s="325"/>
      <c r="CY89" s="326"/>
      <c r="CZ89" s="326"/>
      <c r="DA89" s="326"/>
      <c r="DB89" s="325"/>
      <c r="DC89" s="325"/>
      <c r="DD89" s="97"/>
      <c r="DE89" s="325"/>
      <c r="DF89" s="326"/>
      <c r="DG89" s="326"/>
      <c r="DH89" s="326"/>
      <c r="DI89" s="325"/>
      <c r="DJ89" s="325"/>
      <c r="DK89" s="97"/>
      <c r="DL89" s="325"/>
      <c r="DM89" s="326"/>
      <c r="DN89" s="326"/>
    </row>
    <row r="90" spans="1:118" s="376" customFormat="1" ht="51">
      <c r="B90" s="535"/>
      <c r="C90" s="527"/>
      <c r="D90" s="366" t="s">
        <v>1401</v>
      </c>
      <c r="E90" s="432">
        <v>1E-3</v>
      </c>
      <c r="F90" s="438" t="s">
        <v>90</v>
      </c>
      <c r="G90" s="316" t="s">
        <v>351</v>
      </c>
      <c r="H90" s="316" t="s">
        <v>352</v>
      </c>
      <c r="I90" s="316" t="s">
        <v>353</v>
      </c>
      <c r="J90" s="385" t="s">
        <v>354</v>
      </c>
      <c r="K90" s="362">
        <v>44713</v>
      </c>
      <c r="L90" s="156">
        <v>47848</v>
      </c>
      <c r="M90" s="316" t="s">
        <v>78</v>
      </c>
      <c r="N90" s="316" t="s">
        <v>383</v>
      </c>
      <c r="O90" s="316" t="s">
        <v>1016</v>
      </c>
      <c r="P90" s="316" t="s">
        <v>125</v>
      </c>
      <c r="Q90" s="247">
        <v>1</v>
      </c>
      <c r="R90" s="338">
        <v>2021</v>
      </c>
      <c r="S90" s="372">
        <v>1</v>
      </c>
      <c r="T90" s="372">
        <v>1</v>
      </c>
      <c r="U90" s="372">
        <v>1</v>
      </c>
      <c r="V90" s="372">
        <v>1</v>
      </c>
      <c r="W90" s="372">
        <v>1</v>
      </c>
      <c r="X90" s="372">
        <v>1</v>
      </c>
      <c r="Y90" s="372">
        <v>1</v>
      </c>
      <c r="Z90" s="372">
        <v>1</v>
      </c>
      <c r="AA90" s="372">
        <v>1</v>
      </c>
      <c r="AB90" s="372">
        <v>1</v>
      </c>
      <c r="AC90" s="333">
        <v>53144</v>
      </c>
      <c r="AD90" s="333">
        <v>55960.632000000012</v>
      </c>
      <c r="AE90" s="333">
        <v>58788.387640000008</v>
      </c>
      <c r="AF90" s="333">
        <v>61627.856472920001</v>
      </c>
      <c r="AG90" s="333">
        <v>64479.659297984763</v>
      </c>
      <c r="AH90" s="333">
        <v>67344.449816777938</v>
      </c>
      <c r="AI90" s="333">
        <v>70222.916377067188</v>
      </c>
      <c r="AJ90" s="333">
        <v>73115.783809051747</v>
      </c>
      <c r="AK90" s="333">
        <v>76023.815358931475</v>
      </c>
      <c r="AL90" s="387">
        <f t="shared" si="46"/>
        <v>580707.50077273312</v>
      </c>
      <c r="AM90" s="463">
        <v>53144</v>
      </c>
      <c r="AN90" s="463" t="s">
        <v>119</v>
      </c>
      <c r="AO90" s="463"/>
      <c r="AP90" s="463"/>
      <c r="AQ90" s="463">
        <v>55960.632000000012</v>
      </c>
      <c r="AR90" s="463" t="s">
        <v>119</v>
      </c>
      <c r="AS90" s="463"/>
      <c r="AT90" s="463"/>
      <c r="AU90" s="463">
        <v>58788.387640000008</v>
      </c>
      <c r="AV90" s="463" t="s">
        <v>119</v>
      </c>
      <c r="AW90" s="463"/>
      <c r="AX90" s="463"/>
      <c r="AY90" s="463">
        <f>+AF90</f>
        <v>61627.856472920001</v>
      </c>
      <c r="AZ90" s="463" t="s">
        <v>119</v>
      </c>
      <c r="BA90" s="463"/>
      <c r="BB90" s="463"/>
      <c r="BC90" s="463">
        <f>+AG90</f>
        <v>64479.659297984763</v>
      </c>
      <c r="BD90" s="463" t="s">
        <v>119</v>
      </c>
      <c r="BE90" s="463"/>
      <c r="BF90" s="463"/>
      <c r="BG90" s="463">
        <f>+AH90</f>
        <v>67344.449816777938</v>
      </c>
      <c r="BH90" s="463" t="s">
        <v>119</v>
      </c>
      <c r="BI90" s="463"/>
      <c r="BJ90" s="463"/>
      <c r="BK90" s="463">
        <f>+AI90</f>
        <v>70222.916377067188</v>
      </c>
      <c r="BL90" s="463" t="s">
        <v>119</v>
      </c>
      <c r="BM90" s="463"/>
      <c r="BN90" s="463"/>
      <c r="BO90" s="463">
        <f>+AJ90</f>
        <v>73115.783809051747</v>
      </c>
      <c r="BP90" s="463" t="s">
        <v>119</v>
      </c>
      <c r="BQ90" s="463"/>
      <c r="BR90" s="463"/>
      <c r="BS90" s="463">
        <f>+AK90</f>
        <v>76023.815358931475</v>
      </c>
      <c r="BT90" s="391" t="s">
        <v>119</v>
      </c>
      <c r="BU90" s="391"/>
      <c r="BV90" s="391"/>
      <c r="BW90" s="97">
        <f t="shared" si="47"/>
        <v>580707.50077273312</v>
      </c>
      <c r="BX90" s="384"/>
      <c r="BY90" s="326"/>
      <c r="BZ90" s="325"/>
      <c r="CA90" s="325"/>
      <c r="CB90" s="97"/>
      <c r="CC90" s="325"/>
      <c r="CD90" s="326"/>
      <c r="CE90" s="326"/>
      <c r="CF90" s="326"/>
      <c r="CG90" s="325"/>
      <c r="CH90" s="325"/>
      <c r="CI90" s="97"/>
      <c r="CJ90" s="325"/>
      <c r="CK90" s="326"/>
      <c r="CL90" s="326"/>
      <c r="CM90" s="326"/>
      <c r="CN90" s="325"/>
      <c r="CO90" s="325"/>
      <c r="CP90" s="97"/>
      <c r="CQ90" s="325"/>
      <c r="CR90" s="326"/>
      <c r="CS90" s="326"/>
      <c r="CT90" s="326"/>
      <c r="CU90" s="325"/>
      <c r="CV90" s="325"/>
      <c r="CW90" s="97"/>
      <c r="CX90" s="325"/>
      <c r="CY90" s="326"/>
      <c r="CZ90" s="326"/>
      <c r="DA90" s="326"/>
      <c r="DB90" s="325"/>
      <c r="DC90" s="325"/>
      <c r="DD90" s="97"/>
      <c r="DE90" s="325"/>
      <c r="DF90" s="326"/>
      <c r="DG90" s="326"/>
      <c r="DH90" s="326"/>
      <c r="DI90" s="325"/>
      <c r="DJ90" s="325"/>
      <c r="DK90" s="97"/>
      <c r="DL90" s="325"/>
      <c r="DM90" s="326"/>
      <c r="DN90" s="326"/>
    </row>
    <row r="91" spans="1:118" s="376" customFormat="1" ht="51">
      <c r="B91" s="535"/>
      <c r="C91" s="527"/>
      <c r="D91" s="366" t="s">
        <v>1402</v>
      </c>
      <c r="E91" s="432">
        <v>1E-3</v>
      </c>
      <c r="F91" s="438" t="s">
        <v>90</v>
      </c>
      <c r="G91" s="316" t="s">
        <v>351</v>
      </c>
      <c r="H91" s="316" t="s">
        <v>352</v>
      </c>
      <c r="I91" s="316" t="s">
        <v>353</v>
      </c>
      <c r="J91" s="385" t="s">
        <v>354</v>
      </c>
      <c r="K91" s="362">
        <v>44713</v>
      </c>
      <c r="L91" s="156">
        <v>47848</v>
      </c>
      <c r="M91" s="316" t="s">
        <v>97</v>
      </c>
      <c r="N91" s="316" t="s">
        <v>1017</v>
      </c>
      <c r="O91" s="316" t="s">
        <v>1018</v>
      </c>
      <c r="P91" s="316" t="s">
        <v>125</v>
      </c>
      <c r="Q91" s="247">
        <v>1</v>
      </c>
      <c r="R91" s="338">
        <v>2021</v>
      </c>
      <c r="S91" s="402">
        <v>1</v>
      </c>
      <c r="T91" s="403">
        <v>1</v>
      </c>
      <c r="U91" s="403">
        <v>1</v>
      </c>
      <c r="V91" s="403">
        <v>1</v>
      </c>
      <c r="W91" s="403">
        <v>1</v>
      </c>
      <c r="X91" s="403">
        <v>1</v>
      </c>
      <c r="Y91" s="403">
        <v>1</v>
      </c>
      <c r="Z91" s="403">
        <v>1</v>
      </c>
      <c r="AA91" s="403">
        <v>1</v>
      </c>
      <c r="AB91" s="403">
        <v>1</v>
      </c>
      <c r="AC91" s="333">
        <v>53144</v>
      </c>
      <c r="AD91" s="333">
        <v>55960.632000000012</v>
      </c>
      <c r="AE91" s="333">
        <v>58788.387640000008</v>
      </c>
      <c r="AF91" s="333">
        <v>61627.856472920001</v>
      </c>
      <c r="AG91" s="333">
        <v>64479.659297984763</v>
      </c>
      <c r="AH91" s="333">
        <v>67344.449816777938</v>
      </c>
      <c r="AI91" s="333">
        <v>70222.916377067188</v>
      </c>
      <c r="AJ91" s="333">
        <v>73115.783809051747</v>
      </c>
      <c r="AK91" s="333">
        <v>76023.815358931475</v>
      </c>
      <c r="AL91" s="387">
        <f t="shared" si="46"/>
        <v>580707.50077273312</v>
      </c>
      <c r="AM91" s="463">
        <v>53144</v>
      </c>
      <c r="AN91" s="463" t="s">
        <v>119</v>
      </c>
      <c r="AO91" s="463"/>
      <c r="AP91" s="463"/>
      <c r="AQ91" s="463">
        <v>55960.632000000012</v>
      </c>
      <c r="AR91" s="463" t="s">
        <v>119</v>
      </c>
      <c r="AS91" s="463"/>
      <c r="AT91" s="463"/>
      <c r="AU91" s="463">
        <v>58788.387640000008</v>
      </c>
      <c r="AV91" s="463" t="s">
        <v>119</v>
      </c>
      <c r="AW91" s="463"/>
      <c r="AX91" s="463"/>
      <c r="AY91" s="463">
        <f>+AF91</f>
        <v>61627.856472920001</v>
      </c>
      <c r="AZ91" s="463" t="s">
        <v>119</v>
      </c>
      <c r="BA91" s="463"/>
      <c r="BB91" s="463"/>
      <c r="BC91" s="463">
        <f>+AG91</f>
        <v>64479.659297984763</v>
      </c>
      <c r="BD91" s="463" t="s">
        <v>119</v>
      </c>
      <c r="BE91" s="463"/>
      <c r="BF91" s="463"/>
      <c r="BG91" s="463">
        <f>+AH91</f>
        <v>67344.449816777938</v>
      </c>
      <c r="BH91" s="463" t="s">
        <v>119</v>
      </c>
      <c r="BI91" s="463"/>
      <c r="BJ91" s="463"/>
      <c r="BK91" s="463">
        <f>+AI91</f>
        <v>70222.916377067188</v>
      </c>
      <c r="BL91" s="463" t="s">
        <v>119</v>
      </c>
      <c r="BM91" s="463"/>
      <c r="BN91" s="463"/>
      <c r="BO91" s="463">
        <f>+AJ91</f>
        <v>73115.783809051747</v>
      </c>
      <c r="BP91" s="463" t="s">
        <v>119</v>
      </c>
      <c r="BQ91" s="463"/>
      <c r="BR91" s="463"/>
      <c r="BS91" s="463">
        <f>+AK91</f>
        <v>76023.815358931475</v>
      </c>
      <c r="BT91" s="391" t="s">
        <v>119</v>
      </c>
      <c r="BU91" s="391"/>
      <c r="BV91" s="391"/>
      <c r="BW91" s="97">
        <f t="shared" si="47"/>
        <v>580707.50077273312</v>
      </c>
      <c r="BX91" s="384"/>
      <c r="BY91" s="326"/>
      <c r="BZ91" s="325"/>
      <c r="CA91" s="325"/>
      <c r="CB91" s="97"/>
      <c r="CC91" s="325"/>
      <c r="CD91" s="326"/>
      <c r="CE91" s="326"/>
      <c r="CF91" s="326"/>
      <c r="CG91" s="325"/>
      <c r="CH91" s="325"/>
      <c r="CI91" s="97"/>
      <c r="CJ91" s="325"/>
      <c r="CK91" s="326"/>
      <c r="CL91" s="326"/>
      <c r="CM91" s="326"/>
      <c r="CN91" s="325"/>
      <c r="CO91" s="325"/>
      <c r="CP91" s="97"/>
      <c r="CQ91" s="325"/>
      <c r="CR91" s="326"/>
      <c r="CS91" s="326"/>
      <c r="CT91" s="326"/>
      <c r="CU91" s="325"/>
      <c r="CV91" s="325"/>
      <c r="CW91" s="97"/>
      <c r="CX91" s="325"/>
      <c r="CY91" s="326"/>
      <c r="CZ91" s="326"/>
      <c r="DA91" s="326"/>
      <c r="DB91" s="325"/>
      <c r="DC91" s="325"/>
      <c r="DD91" s="97"/>
      <c r="DE91" s="325"/>
      <c r="DF91" s="326"/>
      <c r="DG91" s="326"/>
      <c r="DH91" s="326"/>
      <c r="DI91" s="325"/>
      <c r="DJ91" s="325"/>
      <c r="DK91" s="97"/>
      <c r="DL91" s="325"/>
      <c r="DM91" s="326"/>
      <c r="DN91" s="326"/>
    </row>
    <row r="92" spans="1:118" s="376" customFormat="1" ht="38.25">
      <c r="B92" s="535"/>
      <c r="C92" s="527"/>
      <c r="D92" s="366" t="s">
        <v>1403</v>
      </c>
      <c r="E92" s="432">
        <v>1E-3</v>
      </c>
      <c r="F92" s="438" t="s">
        <v>90</v>
      </c>
      <c r="G92" s="316" t="s">
        <v>384</v>
      </c>
      <c r="H92" s="316" t="s">
        <v>385</v>
      </c>
      <c r="I92" s="316" t="s">
        <v>386</v>
      </c>
      <c r="J92" s="385" t="s">
        <v>387</v>
      </c>
      <c r="K92" s="362">
        <v>44713</v>
      </c>
      <c r="L92" s="362">
        <v>47483</v>
      </c>
      <c r="M92" s="316" t="s">
        <v>78</v>
      </c>
      <c r="N92" s="316" t="s">
        <v>388</v>
      </c>
      <c r="O92" s="316" t="s">
        <v>389</v>
      </c>
      <c r="P92" s="316" t="s">
        <v>87</v>
      </c>
      <c r="Q92" s="386">
        <v>777</v>
      </c>
      <c r="R92" s="338">
        <v>2021</v>
      </c>
      <c r="S92" s="386">
        <v>787</v>
      </c>
      <c r="T92" s="386">
        <f>+S92+797</f>
        <v>1584</v>
      </c>
      <c r="U92" s="386">
        <f>+T92+807</f>
        <v>2391</v>
      </c>
      <c r="V92" s="386">
        <f>+U92+817</f>
        <v>3208</v>
      </c>
      <c r="W92" s="386">
        <f>+V92+827</f>
        <v>4035</v>
      </c>
      <c r="X92" s="386">
        <f>+W92+837</f>
        <v>4872</v>
      </c>
      <c r="Y92" s="386">
        <f>+X92+847</f>
        <v>5719</v>
      </c>
      <c r="Z92" s="386">
        <f>+Y92+857</f>
        <v>6576</v>
      </c>
      <c r="AA92" s="386"/>
      <c r="AB92" s="386">
        <f>Z92</f>
        <v>6576</v>
      </c>
      <c r="AC92" s="328">
        <v>84.591096369999988</v>
      </c>
      <c r="AD92" s="328">
        <v>88.23592579000001</v>
      </c>
      <c r="AE92" s="328">
        <v>92.023323660000003</v>
      </c>
      <c r="AF92" s="333">
        <v>95.958545440000009</v>
      </c>
      <c r="AG92" s="333">
        <v>100.04706102999999</v>
      </c>
      <c r="AH92" s="333">
        <v>104.29451892</v>
      </c>
      <c r="AI92" s="333">
        <v>108.70679204000001</v>
      </c>
      <c r="AJ92" s="333">
        <v>113.28993233999999</v>
      </c>
      <c r="AK92" s="328"/>
      <c r="AL92" s="387">
        <f t="shared" si="46"/>
        <v>787.14719559000002</v>
      </c>
      <c r="AM92" s="340">
        <f>+AC92</f>
        <v>84.591096369999988</v>
      </c>
      <c r="AN92" s="316" t="s">
        <v>397</v>
      </c>
      <c r="AO92" s="339"/>
      <c r="AP92" s="339"/>
      <c r="AQ92" s="339">
        <f>+AD92</f>
        <v>88.23592579000001</v>
      </c>
      <c r="AR92" s="316" t="s">
        <v>397</v>
      </c>
      <c r="AS92" s="339"/>
      <c r="AT92" s="339"/>
      <c r="AU92" s="339">
        <f>AE92</f>
        <v>92.023323660000003</v>
      </c>
      <c r="AV92" s="316" t="s">
        <v>397</v>
      </c>
      <c r="AW92" s="339"/>
      <c r="AX92" s="339"/>
      <c r="AY92" s="339">
        <f>AF92</f>
        <v>95.958545440000009</v>
      </c>
      <c r="AZ92" s="316" t="s">
        <v>397</v>
      </c>
      <c r="BA92" s="339"/>
      <c r="BB92" s="339"/>
      <c r="BC92" s="339">
        <f>AG92</f>
        <v>100.04706102999999</v>
      </c>
      <c r="BD92" s="316" t="s">
        <v>397</v>
      </c>
      <c r="BE92" s="339"/>
      <c r="BF92" s="339"/>
      <c r="BG92" s="339">
        <f>AH92</f>
        <v>104.29451892</v>
      </c>
      <c r="BH92" s="316" t="s">
        <v>397</v>
      </c>
      <c r="BI92" s="339"/>
      <c r="BJ92" s="339"/>
      <c r="BK92" s="339">
        <f>AI92</f>
        <v>108.70679204000001</v>
      </c>
      <c r="BL92" s="316" t="s">
        <v>397</v>
      </c>
      <c r="BM92" s="339"/>
      <c r="BN92" s="339"/>
      <c r="BO92" s="339">
        <f>AJ92</f>
        <v>113.28993233999999</v>
      </c>
      <c r="BP92" s="316" t="s">
        <v>397</v>
      </c>
      <c r="BQ92" s="339"/>
      <c r="BR92" s="289"/>
      <c r="BS92" s="289"/>
      <c r="BT92" s="316"/>
      <c r="BU92" s="338"/>
      <c r="BV92" s="338"/>
      <c r="BW92" s="97">
        <f t="shared" si="47"/>
        <v>787.14719559000002</v>
      </c>
      <c r="BX92" s="384"/>
      <c r="BY92" s="326"/>
      <c r="BZ92" s="325"/>
      <c r="CA92" s="325"/>
      <c r="CB92" s="97"/>
      <c r="CC92" s="325"/>
      <c r="CD92" s="326"/>
      <c r="CE92" s="326"/>
      <c r="CF92" s="326"/>
      <c r="CG92" s="325"/>
      <c r="CH92" s="325"/>
      <c r="CI92" s="97"/>
      <c r="CJ92" s="325"/>
      <c r="CK92" s="326"/>
      <c r="CL92" s="326"/>
      <c r="CM92" s="326"/>
      <c r="CN92" s="325"/>
      <c r="CO92" s="325"/>
      <c r="CP92" s="97"/>
      <c r="CQ92" s="325"/>
      <c r="CR92" s="326"/>
      <c r="CS92" s="326"/>
      <c r="CT92" s="326"/>
      <c r="CU92" s="325"/>
      <c r="CV92" s="325"/>
      <c r="CW92" s="97"/>
      <c r="CX92" s="325"/>
      <c r="CY92" s="326"/>
      <c r="CZ92" s="326"/>
      <c r="DA92" s="326"/>
      <c r="DB92" s="325"/>
      <c r="DC92" s="325"/>
      <c r="DD92" s="97"/>
      <c r="DE92" s="325"/>
      <c r="DF92" s="326"/>
      <c r="DG92" s="326"/>
      <c r="DH92" s="326"/>
      <c r="DI92" s="325"/>
      <c r="DJ92" s="325"/>
      <c r="DK92" s="97"/>
      <c r="DL92" s="325"/>
      <c r="DM92" s="326"/>
      <c r="DN92" s="326"/>
    </row>
    <row r="93" spans="1:118" s="376" customFormat="1" ht="38.25">
      <c r="B93" s="535"/>
      <c r="C93" s="527"/>
      <c r="D93" s="366" t="s">
        <v>1404</v>
      </c>
      <c r="E93" s="432">
        <v>1E-3</v>
      </c>
      <c r="F93" s="438" t="s">
        <v>90</v>
      </c>
      <c r="G93" s="316" t="s">
        <v>384</v>
      </c>
      <c r="H93" s="316" t="s">
        <v>385</v>
      </c>
      <c r="I93" s="316" t="s">
        <v>386</v>
      </c>
      <c r="J93" s="385" t="s">
        <v>387</v>
      </c>
      <c r="K93" s="362">
        <v>44713</v>
      </c>
      <c r="L93" s="362">
        <v>47483</v>
      </c>
      <c r="M93" s="316" t="s">
        <v>78</v>
      </c>
      <c r="N93" s="316" t="s">
        <v>388</v>
      </c>
      <c r="O93" s="316" t="s">
        <v>389</v>
      </c>
      <c r="P93" s="316" t="s">
        <v>87</v>
      </c>
      <c r="Q93" s="386">
        <v>159</v>
      </c>
      <c r="R93" s="316">
        <v>2021</v>
      </c>
      <c r="S93" s="386">
        <v>164</v>
      </c>
      <c r="T93" s="386">
        <f>+S93+169</f>
        <v>333</v>
      </c>
      <c r="U93" s="386">
        <f>+T93+174</f>
        <v>507</v>
      </c>
      <c r="V93" s="386">
        <f>+U93+179</f>
        <v>686</v>
      </c>
      <c r="W93" s="386">
        <f>+V93+184</f>
        <v>870</v>
      </c>
      <c r="X93" s="386">
        <f>+W93+189</f>
        <v>1059</v>
      </c>
      <c r="Y93" s="386">
        <f>+X93+194</f>
        <v>1253</v>
      </c>
      <c r="Z93" s="386">
        <f>+Y93+199</f>
        <v>1452</v>
      </c>
      <c r="AA93" s="386"/>
      <c r="AB93" s="386">
        <f>Z93</f>
        <v>1452</v>
      </c>
      <c r="AC93" s="328">
        <v>17.627623639999999</v>
      </c>
      <c r="AD93" s="328">
        <v>18.710001830000003</v>
      </c>
      <c r="AE93" s="328">
        <v>19.841460120000001</v>
      </c>
      <c r="AF93" s="333">
        <v>21.023965280000002</v>
      </c>
      <c r="AG93" s="333">
        <v>22.259563760000002</v>
      </c>
      <c r="AH93" s="333">
        <v>24.173401039999998</v>
      </c>
      <c r="AI93" s="333">
        <v>24.898604080000002</v>
      </c>
      <c r="AJ93" s="333">
        <v>26.306530379999998</v>
      </c>
      <c r="AK93" s="328"/>
      <c r="AL93" s="387">
        <f t="shared" si="46"/>
        <v>174.84115013000002</v>
      </c>
      <c r="AM93" s="340">
        <f>+AC93</f>
        <v>17.627623639999999</v>
      </c>
      <c r="AN93" s="316" t="s">
        <v>397</v>
      </c>
      <c r="AO93" s="339"/>
      <c r="AP93" s="339"/>
      <c r="AQ93" s="339">
        <f>+AD93</f>
        <v>18.710001830000003</v>
      </c>
      <c r="AR93" s="316" t="s">
        <v>397</v>
      </c>
      <c r="AS93" s="339"/>
      <c r="AT93" s="339"/>
      <c r="AU93" s="339">
        <f>AE93</f>
        <v>19.841460120000001</v>
      </c>
      <c r="AV93" s="316" t="s">
        <v>397</v>
      </c>
      <c r="AW93" s="339"/>
      <c r="AX93" s="339"/>
      <c r="AY93" s="339">
        <f>AF93</f>
        <v>21.023965280000002</v>
      </c>
      <c r="AZ93" s="316" t="s">
        <v>397</v>
      </c>
      <c r="BA93" s="339"/>
      <c r="BB93" s="339"/>
      <c r="BC93" s="339">
        <f>AG93</f>
        <v>22.259563760000002</v>
      </c>
      <c r="BD93" s="316" t="s">
        <v>397</v>
      </c>
      <c r="BE93" s="339"/>
      <c r="BF93" s="339"/>
      <c r="BG93" s="339">
        <f>AH93</f>
        <v>24.173401039999998</v>
      </c>
      <c r="BH93" s="316" t="s">
        <v>397</v>
      </c>
      <c r="BI93" s="339"/>
      <c r="BJ93" s="339"/>
      <c r="BK93" s="339">
        <f>AI93</f>
        <v>24.898604080000002</v>
      </c>
      <c r="BL93" s="316" t="s">
        <v>397</v>
      </c>
      <c r="BM93" s="339"/>
      <c r="BN93" s="339"/>
      <c r="BO93" s="339">
        <f>AJ93</f>
        <v>26.306530379999998</v>
      </c>
      <c r="BP93" s="316" t="s">
        <v>397</v>
      </c>
      <c r="BQ93" s="339"/>
      <c r="BR93" s="289"/>
      <c r="BS93" s="289"/>
      <c r="BT93" s="316"/>
      <c r="BU93" s="338"/>
      <c r="BV93" s="338"/>
      <c r="BW93" s="97">
        <f t="shared" si="47"/>
        <v>174.84115013000002</v>
      </c>
      <c r="BX93" s="384"/>
      <c r="BY93" s="326"/>
      <c r="BZ93" s="325"/>
      <c r="CA93" s="325"/>
      <c r="CB93" s="97"/>
      <c r="CC93" s="325"/>
      <c r="CD93" s="326"/>
      <c r="CE93" s="326"/>
      <c r="CF93" s="326"/>
      <c r="CG93" s="325"/>
      <c r="CH93" s="325"/>
      <c r="CI93" s="97"/>
      <c r="CJ93" s="325"/>
      <c r="CK93" s="326"/>
      <c r="CL93" s="326"/>
      <c r="CM93" s="326"/>
      <c r="CN93" s="325"/>
      <c r="CO93" s="325"/>
      <c r="CP93" s="97"/>
      <c r="CQ93" s="325"/>
      <c r="CR93" s="326"/>
      <c r="CS93" s="326"/>
      <c r="CT93" s="326"/>
      <c r="CU93" s="325"/>
      <c r="CV93" s="325"/>
      <c r="CW93" s="97"/>
      <c r="CX93" s="325"/>
      <c r="CY93" s="326"/>
      <c r="CZ93" s="326"/>
      <c r="DA93" s="326"/>
      <c r="DB93" s="325"/>
      <c r="DC93" s="325"/>
      <c r="DD93" s="97"/>
      <c r="DE93" s="325"/>
      <c r="DF93" s="326"/>
      <c r="DG93" s="326"/>
      <c r="DH93" s="326"/>
      <c r="DI93" s="325"/>
      <c r="DJ93" s="325"/>
      <c r="DK93" s="97"/>
      <c r="DL93" s="325"/>
      <c r="DM93" s="326"/>
      <c r="DN93" s="326"/>
    </row>
    <row r="94" spans="1:118" ht="63.75">
      <c r="A94" s="19"/>
      <c r="B94" s="535"/>
      <c r="C94" s="527"/>
      <c r="D94" s="218" t="s">
        <v>1405</v>
      </c>
      <c r="E94" s="432">
        <v>1E-3</v>
      </c>
      <c r="F94" s="187" t="s">
        <v>90</v>
      </c>
      <c r="G94" s="136" t="s">
        <v>313</v>
      </c>
      <c r="H94" s="136" t="s">
        <v>390</v>
      </c>
      <c r="I94" s="136" t="s">
        <v>391</v>
      </c>
      <c r="J94" s="385" t="s">
        <v>392</v>
      </c>
      <c r="K94" s="156">
        <v>44713</v>
      </c>
      <c r="L94" s="156">
        <v>44926</v>
      </c>
      <c r="M94" s="136" t="s">
        <v>97</v>
      </c>
      <c r="N94" s="136" t="s">
        <v>393</v>
      </c>
      <c r="O94" s="136" t="s">
        <v>1019</v>
      </c>
      <c r="P94" s="136" t="s">
        <v>87</v>
      </c>
      <c r="Q94" s="322">
        <v>0</v>
      </c>
      <c r="R94" s="127">
        <v>2022</v>
      </c>
      <c r="S94" s="322">
        <v>1</v>
      </c>
      <c r="T94" s="322"/>
      <c r="U94" s="322"/>
      <c r="V94" s="228"/>
      <c r="W94" s="228"/>
      <c r="X94" s="228"/>
      <c r="Y94" s="228"/>
      <c r="Z94" s="228"/>
      <c r="AA94" s="228"/>
      <c r="AB94" s="322">
        <v>1</v>
      </c>
      <c r="AC94" s="330">
        <v>39</v>
      </c>
      <c r="AD94" s="330"/>
      <c r="AE94" s="330"/>
      <c r="AF94" s="331"/>
      <c r="AG94" s="331"/>
      <c r="AH94" s="331"/>
      <c r="AI94" s="331"/>
      <c r="AJ94" s="331"/>
      <c r="AK94" s="330"/>
      <c r="AL94" s="454">
        <f t="shared" si="46"/>
        <v>39</v>
      </c>
      <c r="AM94" s="226">
        <v>39</v>
      </c>
      <c r="AN94" s="136" t="s">
        <v>80</v>
      </c>
      <c r="AO94" s="226"/>
      <c r="AP94" s="229"/>
      <c r="AQ94" s="226"/>
      <c r="AR94" s="136"/>
      <c r="AS94" s="226"/>
      <c r="AT94" s="136"/>
      <c r="AU94" s="226"/>
      <c r="AV94" s="136"/>
      <c r="AW94" s="226"/>
      <c r="AX94" s="136"/>
      <c r="AY94" s="226"/>
      <c r="AZ94" s="136"/>
      <c r="BA94" s="226"/>
      <c r="BB94" s="136"/>
      <c r="BC94" s="226"/>
      <c r="BD94" s="136"/>
      <c r="BE94" s="226"/>
      <c r="BF94" s="136"/>
      <c r="BG94" s="226"/>
      <c r="BH94" s="136"/>
      <c r="BI94" s="226"/>
      <c r="BJ94" s="136"/>
      <c r="BK94" s="226"/>
      <c r="BL94" s="136"/>
      <c r="BM94" s="226"/>
      <c r="BN94" s="136"/>
      <c r="BO94" s="226"/>
      <c r="BP94" s="136"/>
      <c r="BQ94" s="226"/>
      <c r="BR94" s="231"/>
      <c r="BS94" s="127"/>
      <c r="BT94" s="127"/>
      <c r="BU94" s="127"/>
      <c r="BV94" s="127"/>
      <c r="BW94" s="97">
        <f t="shared" si="47"/>
        <v>39</v>
      </c>
      <c r="BX94" s="384"/>
      <c r="BY94" s="305"/>
      <c r="BZ94" s="291"/>
      <c r="CA94" s="291"/>
      <c r="CB94" s="97"/>
      <c r="CC94" s="291"/>
      <c r="CD94" s="305"/>
      <c r="CE94" s="305"/>
      <c r="CF94" s="305"/>
      <c r="CG94" s="291"/>
      <c r="CH94" s="291"/>
      <c r="CI94" s="97"/>
      <c r="CJ94" s="291"/>
      <c r="CK94" s="305"/>
      <c r="CL94" s="305"/>
      <c r="CM94" s="305"/>
      <c r="CN94" s="291"/>
      <c r="CO94" s="291"/>
      <c r="CP94" s="97"/>
      <c r="CQ94" s="291"/>
      <c r="CR94" s="305"/>
      <c r="CS94" s="305"/>
      <c r="CT94" s="305"/>
      <c r="CU94" s="291"/>
      <c r="CV94" s="291"/>
      <c r="CW94" s="97"/>
      <c r="CX94" s="291"/>
      <c r="CY94" s="305"/>
      <c r="CZ94" s="305"/>
      <c r="DA94" s="305"/>
      <c r="DB94" s="291"/>
      <c r="DC94" s="291"/>
      <c r="DD94" s="97"/>
      <c r="DE94" s="291"/>
      <c r="DF94" s="305"/>
      <c r="DG94" s="305"/>
      <c r="DH94" s="305"/>
      <c r="DI94" s="291"/>
      <c r="DJ94" s="291"/>
      <c r="DK94" s="97"/>
      <c r="DL94" s="291"/>
      <c r="DM94" s="305"/>
      <c r="DN94" s="305"/>
    </row>
    <row r="95" spans="1:118" s="376" customFormat="1" ht="89.25">
      <c r="B95" s="535"/>
      <c r="C95" s="527"/>
      <c r="D95" s="366" t="s">
        <v>1406</v>
      </c>
      <c r="E95" s="432">
        <v>1E-3</v>
      </c>
      <c r="F95" s="438" t="s">
        <v>90</v>
      </c>
      <c r="G95" s="316" t="s">
        <v>313</v>
      </c>
      <c r="H95" s="316" t="s">
        <v>390</v>
      </c>
      <c r="I95" s="316" t="s">
        <v>391</v>
      </c>
      <c r="J95" s="385" t="s">
        <v>392</v>
      </c>
      <c r="K95" s="362">
        <v>44927</v>
      </c>
      <c r="L95" s="362">
        <v>45657</v>
      </c>
      <c r="M95" s="316" t="s">
        <v>97</v>
      </c>
      <c r="N95" s="316" t="s">
        <v>395</v>
      </c>
      <c r="O95" s="316" t="s">
        <v>396</v>
      </c>
      <c r="P95" s="316" t="s">
        <v>87</v>
      </c>
      <c r="Q95" s="322">
        <v>0</v>
      </c>
      <c r="R95" s="338">
        <v>2022</v>
      </c>
      <c r="S95" s="393"/>
      <c r="T95" s="367">
        <v>0.7</v>
      </c>
      <c r="U95" s="367">
        <v>1</v>
      </c>
      <c r="V95" s="393"/>
      <c r="W95" s="393"/>
      <c r="X95" s="393"/>
      <c r="Y95" s="393"/>
      <c r="Z95" s="393"/>
      <c r="AA95" s="393"/>
      <c r="AB95" s="402">
        <v>1</v>
      </c>
      <c r="AC95" s="328"/>
      <c r="AD95" s="328">
        <v>80.34</v>
      </c>
      <c r="AE95" s="328">
        <v>82.75</v>
      </c>
      <c r="AF95" s="328"/>
      <c r="AG95" s="333"/>
      <c r="AH95" s="333"/>
      <c r="AI95" s="333"/>
      <c r="AJ95" s="333"/>
      <c r="AK95" s="328"/>
      <c r="AL95" s="387">
        <f t="shared" si="46"/>
        <v>163.09</v>
      </c>
      <c r="AM95" s="339"/>
      <c r="AN95" s="339"/>
      <c r="AO95" s="316"/>
      <c r="AP95" s="382"/>
      <c r="AQ95" s="382">
        <v>80.34</v>
      </c>
      <c r="AR95" s="339" t="s">
        <v>394</v>
      </c>
      <c r="AS95" s="339"/>
      <c r="AT95" s="316"/>
      <c r="AU95" s="382">
        <v>82.75</v>
      </c>
      <c r="AV95" s="339" t="s">
        <v>394</v>
      </c>
      <c r="AW95" s="339"/>
      <c r="AX95" s="316"/>
      <c r="AY95" s="339"/>
      <c r="AZ95" s="316"/>
      <c r="BA95" s="339"/>
      <c r="BB95" s="316"/>
      <c r="BC95" s="339"/>
      <c r="BD95" s="316"/>
      <c r="BE95" s="339"/>
      <c r="BF95" s="316"/>
      <c r="BG95" s="316"/>
      <c r="BH95" s="339"/>
      <c r="BI95" s="316"/>
      <c r="BJ95" s="339"/>
      <c r="BK95" s="316"/>
      <c r="BL95" s="339"/>
      <c r="BM95" s="316"/>
      <c r="BN95" s="339"/>
      <c r="BO95" s="316"/>
      <c r="BP95" s="339"/>
      <c r="BQ95" s="316"/>
      <c r="BR95" s="438"/>
      <c r="BS95" s="338"/>
      <c r="BT95" s="338"/>
      <c r="BU95" s="338"/>
      <c r="BV95" s="338"/>
      <c r="BW95" s="97">
        <f t="shared" si="47"/>
        <v>163.09</v>
      </c>
      <c r="BX95" s="384"/>
      <c r="BY95" s="326"/>
      <c r="BZ95" s="325"/>
      <c r="CA95" s="325"/>
      <c r="CB95" s="97"/>
      <c r="CC95" s="325"/>
      <c r="CD95" s="326"/>
      <c r="CE95" s="326"/>
      <c r="CF95" s="326"/>
      <c r="CG95" s="325"/>
      <c r="CH95" s="325"/>
      <c r="CI95" s="97"/>
      <c r="CJ95" s="325"/>
      <c r="CK95" s="326"/>
      <c r="CL95" s="326"/>
      <c r="CM95" s="326"/>
      <c r="CN95" s="325"/>
      <c r="CO95" s="325"/>
      <c r="CP95" s="97"/>
      <c r="CQ95" s="325"/>
      <c r="CR95" s="326"/>
      <c r="CS95" s="326"/>
      <c r="CT95" s="326"/>
      <c r="CU95" s="325"/>
      <c r="CV95" s="325"/>
      <c r="CW95" s="97"/>
      <c r="CX95" s="325"/>
      <c r="CY95" s="326"/>
      <c r="CZ95" s="326"/>
      <c r="DA95" s="326"/>
      <c r="DB95" s="325"/>
      <c r="DC95" s="325"/>
      <c r="DD95" s="97"/>
      <c r="DE95" s="325"/>
      <c r="DF95" s="326"/>
      <c r="DG95" s="326"/>
      <c r="DH95" s="326"/>
      <c r="DI95" s="325"/>
      <c r="DJ95" s="325"/>
      <c r="DK95" s="97"/>
      <c r="DL95" s="325"/>
      <c r="DM95" s="326"/>
      <c r="DN95" s="326"/>
    </row>
    <row r="96" spans="1:118" ht="25.5">
      <c r="A96" s="19"/>
      <c r="B96" s="535"/>
      <c r="C96" s="527"/>
      <c r="D96" s="125" t="s">
        <v>1407</v>
      </c>
      <c r="E96" s="432">
        <v>1E-3</v>
      </c>
      <c r="F96" s="187" t="s">
        <v>90</v>
      </c>
      <c r="G96" s="136" t="s">
        <v>324</v>
      </c>
      <c r="H96" s="136" t="s">
        <v>325</v>
      </c>
      <c r="I96" s="136" t="s">
        <v>326</v>
      </c>
      <c r="J96" s="385" t="s">
        <v>327</v>
      </c>
      <c r="K96" s="156">
        <v>44713</v>
      </c>
      <c r="L96" s="156">
        <v>45992</v>
      </c>
      <c r="M96" s="136" t="s">
        <v>78</v>
      </c>
      <c r="N96" s="136" t="s">
        <v>1227</v>
      </c>
      <c r="O96" s="136" t="s">
        <v>1228</v>
      </c>
      <c r="P96" s="136" t="s">
        <v>87</v>
      </c>
      <c r="Q96" s="228">
        <v>0</v>
      </c>
      <c r="R96" s="127">
        <v>2022</v>
      </c>
      <c r="S96" s="228">
        <v>4</v>
      </c>
      <c r="T96" s="228">
        <f>6+S96</f>
        <v>10</v>
      </c>
      <c r="U96" s="228">
        <f>6+T96</f>
        <v>16</v>
      </c>
      <c r="V96" s="228">
        <f>6+U96</f>
        <v>22</v>
      </c>
      <c r="W96" s="307"/>
      <c r="X96" s="228"/>
      <c r="Y96" s="228"/>
      <c r="Z96" s="228"/>
      <c r="AA96" s="228"/>
      <c r="AB96" s="228">
        <f>+V96</f>
        <v>22</v>
      </c>
      <c r="AC96" s="330">
        <v>30</v>
      </c>
      <c r="AD96" s="330">
        <v>30</v>
      </c>
      <c r="AE96" s="330">
        <v>30</v>
      </c>
      <c r="AF96" s="330">
        <v>30</v>
      </c>
      <c r="AG96" s="330"/>
      <c r="AH96" s="330"/>
      <c r="AI96" s="331"/>
      <c r="AJ96" s="331"/>
      <c r="AK96" s="331"/>
      <c r="AL96" s="454">
        <f t="shared" si="46"/>
        <v>120</v>
      </c>
      <c r="AM96" s="230">
        <v>30</v>
      </c>
      <c r="AN96" s="225" t="s">
        <v>397</v>
      </c>
      <c r="AO96" s="226"/>
      <c r="AP96" s="136"/>
      <c r="AQ96" s="226">
        <v>30</v>
      </c>
      <c r="AR96" s="136" t="s">
        <v>397</v>
      </c>
      <c r="AS96" s="226"/>
      <c r="AT96" s="136"/>
      <c r="AU96" s="226">
        <v>30</v>
      </c>
      <c r="AV96" s="136" t="s">
        <v>397</v>
      </c>
      <c r="AW96" s="226"/>
      <c r="AX96" s="136"/>
      <c r="AY96" s="226">
        <v>30</v>
      </c>
      <c r="AZ96" s="136" t="s">
        <v>397</v>
      </c>
      <c r="BA96" s="226"/>
      <c r="BB96" s="136"/>
      <c r="BC96" s="226"/>
      <c r="BD96" s="136"/>
      <c r="BE96" s="226"/>
      <c r="BF96" s="136"/>
      <c r="BG96" s="226"/>
      <c r="BH96" s="136"/>
      <c r="BI96" s="226"/>
      <c r="BJ96" s="136"/>
      <c r="BK96" s="226"/>
      <c r="BL96" s="136"/>
      <c r="BM96" s="226"/>
      <c r="BN96" s="136"/>
      <c r="BO96" s="226"/>
      <c r="BP96" s="136"/>
      <c r="BQ96" s="226"/>
      <c r="BR96" s="226"/>
      <c r="BS96" s="136"/>
      <c r="BT96" s="226"/>
      <c r="BU96" s="136"/>
      <c r="BV96" s="194"/>
      <c r="BW96" s="97">
        <f t="shared" si="47"/>
        <v>120</v>
      </c>
      <c r="BX96" s="384"/>
      <c r="BY96" s="305"/>
      <c r="BZ96" s="291"/>
      <c r="CA96" s="291"/>
      <c r="CB96" s="97"/>
      <c r="CC96" s="291"/>
      <c r="CD96" s="305"/>
      <c r="CE96" s="305"/>
      <c r="CF96" s="305"/>
      <c r="CG96" s="291"/>
      <c r="CH96" s="291"/>
      <c r="CI96" s="97"/>
      <c r="CJ96" s="291"/>
      <c r="CK96" s="305"/>
      <c r="CL96" s="305"/>
      <c r="CM96" s="305"/>
      <c r="CN96" s="291"/>
      <c r="CO96" s="291"/>
      <c r="CP96" s="97"/>
      <c r="CQ96" s="291"/>
      <c r="CR96" s="305"/>
      <c r="CS96" s="305"/>
      <c r="CT96" s="305"/>
      <c r="CU96" s="291"/>
      <c r="CV96" s="291"/>
      <c r="CW96" s="97"/>
      <c r="CX96" s="291"/>
      <c r="CY96" s="305"/>
      <c r="CZ96" s="305"/>
      <c r="DA96" s="305"/>
      <c r="DB96" s="291"/>
      <c r="DC96" s="291"/>
      <c r="DD96" s="97"/>
      <c r="DE96" s="291"/>
      <c r="DF96" s="305"/>
      <c r="DG96" s="305"/>
      <c r="DH96" s="305"/>
      <c r="DI96" s="291"/>
      <c r="DJ96" s="291"/>
      <c r="DK96" s="97"/>
      <c r="DL96" s="291"/>
      <c r="DM96" s="305"/>
      <c r="DN96" s="305"/>
    </row>
    <row r="97" spans="1:118" ht="38.25">
      <c r="A97" s="19"/>
      <c r="B97" s="535"/>
      <c r="C97" s="527"/>
      <c r="D97" s="232" t="s">
        <v>1408</v>
      </c>
      <c r="E97" s="432">
        <v>1E-3</v>
      </c>
      <c r="F97" s="187" t="s">
        <v>90</v>
      </c>
      <c r="G97" s="136" t="s">
        <v>324</v>
      </c>
      <c r="H97" s="136" t="s">
        <v>325</v>
      </c>
      <c r="I97" s="136" t="s">
        <v>326</v>
      </c>
      <c r="J97" s="385" t="s">
        <v>327</v>
      </c>
      <c r="K97" s="156">
        <v>44682</v>
      </c>
      <c r="L97" s="156">
        <v>45992</v>
      </c>
      <c r="M97" s="127" t="s">
        <v>78</v>
      </c>
      <c r="N97" s="136" t="s">
        <v>1229</v>
      </c>
      <c r="O97" s="136" t="s">
        <v>1230</v>
      </c>
      <c r="P97" s="136" t="s">
        <v>87</v>
      </c>
      <c r="Q97" s="228">
        <v>0</v>
      </c>
      <c r="R97" s="127">
        <v>2022</v>
      </c>
      <c r="S97" s="228">
        <v>6</v>
      </c>
      <c r="T97" s="228">
        <f>12+S97</f>
        <v>18</v>
      </c>
      <c r="U97" s="228">
        <f>12+T97</f>
        <v>30</v>
      </c>
      <c r="V97" s="228">
        <f>20+U97</f>
        <v>50</v>
      </c>
      <c r="W97" s="228"/>
      <c r="X97" s="324"/>
      <c r="Y97" s="324"/>
      <c r="Z97" s="324"/>
      <c r="AA97" s="324"/>
      <c r="AB97" s="228">
        <v>50</v>
      </c>
      <c r="AC97" s="330">
        <v>50</v>
      </c>
      <c r="AD97" s="330">
        <v>50</v>
      </c>
      <c r="AE97" s="330">
        <v>50</v>
      </c>
      <c r="AF97" s="330">
        <v>50</v>
      </c>
      <c r="AG97" s="330"/>
      <c r="AH97" s="330"/>
      <c r="AI97" s="330"/>
      <c r="AJ97" s="330"/>
      <c r="AK97" s="330"/>
      <c r="AL97" s="454">
        <f t="shared" si="46"/>
        <v>200</v>
      </c>
      <c r="AM97" s="225">
        <v>50</v>
      </c>
      <c r="AN97" s="225" t="s">
        <v>397</v>
      </c>
      <c r="AO97" s="226"/>
      <c r="AP97" s="136"/>
      <c r="AQ97" s="226">
        <v>50</v>
      </c>
      <c r="AR97" s="136" t="s">
        <v>397</v>
      </c>
      <c r="AS97" s="226"/>
      <c r="AT97" s="136"/>
      <c r="AU97" s="226">
        <v>50</v>
      </c>
      <c r="AV97" s="136" t="s">
        <v>397</v>
      </c>
      <c r="AW97" s="226"/>
      <c r="AX97" s="136"/>
      <c r="AY97" s="226">
        <v>50</v>
      </c>
      <c r="AZ97" s="136" t="s">
        <v>397</v>
      </c>
      <c r="BA97" s="226"/>
      <c r="BB97" s="136"/>
      <c r="BC97" s="226"/>
      <c r="BD97" s="136"/>
      <c r="BE97" s="226"/>
      <c r="BF97" s="136"/>
      <c r="BG97" s="226"/>
      <c r="BH97" s="136"/>
      <c r="BI97" s="226"/>
      <c r="BJ97" s="136"/>
      <c r="BK97" s="226"/>
      <c r="BL97" s="136"/>
      <c r="BM97" s="226"/>
      <c r="BN97" s="136"/>
      <c r="BO97" s="226"/>
      <c r="BP97" s="136"/>
      <c r="BQ97" s="226"/>
      <c r="BR97" s="226"/>
      <c r="BS97" s="136"/>
      <c r="BT97" s="226"/>
      <c r="BU97" s="136"/>
      <c r="BV97" s="194"/>
      <c r="BW97" s="97">
        <f t="shared" si="47"/>
        <v>200</v>
      </c>
      <c r="BX97" s="384"/>
      <c r="BY97" s="305"/>
      <c r="BZ97" s="291"/>
      <c r="CA97" s="291"/>
      <c r="CB97" s="97"/>
      <c r="CC97" s="291"/>
      <c r="CD97" s="305"/>
      <c r="CE97" s="305"/>
      <c r="CF97" s="305"/>
      <c r="CG97" s="291"/>
      <c r="CH97" s="291"/>
      <c r="CI97" s="97"/>
      <c r="CJ97" s="291"/>
      <c r="CK97" s="305"/>
      <c r="CL97" s="305"/>
      <c r="CM97" s="305"/>
      <c r="CN97" s="291"/>
      <c r="CO97" s="291"/>
      <c r="CP97" s="97"/>
      <c r="CQ97" s="291"/>
      <c r="CR97" s="305"/>
      <c r="CS97" s="305"/>
      <c r="CT97" s="305"/>
      <c r="CU97" s="291"/>
      <c r="CV97" s="291"/>
      <c r="CW97" s="97"/>
      <c r="CX97" s="291"/>
      <c r="CY97" s="305"/>
      <c r="CZ97" s="305"/>
      <c r="DA97" s="305"/>
      <c r="DB97" s="291"/>
      <c r="DC97" s="291"/>
      <c r="DD97" s="97"/>
      <c r="DE97" s="291"/>
      <c r="DF97" s="305"/>
      <c r="DG97" s="305"/>
      <c r="DH97" s="305"/>
      <c r="DI97" s="291"/>
      <c r="DJ97" s="291"/>
      <c r="DK97" s="97"/>
      <c r="DL97" s="291"/>
      <c r="DM97" s="305"/>
      <c r="DN97" s="305"/>
    </row>
    <row r="98" spans="1:118" ht="25.5">
      <c r="A98" s="19"/>
      <c r="B98" s="535"/>
      <c r="C98" s="527"/>
      <c r="D98" s="232" t="s">
        <v>1409</v>
      </c>
      <c r="E98" s="432">
        <v>1E-3</v>
      </c>
      <c r="F98" s="187" t="s">
        <v>90</v>
      </c>
      <c r="G98" s="136" t="s">
        <v>324</v>
      </c>
      <c r="H98" s="136" t="s">
        <v>325</v>
      </c>
      <c r="I98" s="136" t="s">
        <v>326</v>
      </c>
      <c r="J98" s="385" t="s">
        <v>327</v>
      </c>
      <c r="K98" s="156">
        <v>44896</v>
      </c>
      <c r="L98" s="156">
        <v>45992</v>
      </c>
      <c r="M98" s="136" t="s">
        <v>78</v>
      </c>
      <c r="N98" s="136" t="s">
        <v>398</v>
      </c>
      <c r="O98" s="136" t="s">
        <v>399</v>
      </c>
      <c r="P98" s="136" t="s">
        <v>87</v>
      </c>
      <c r="Q98" s="127">
        <v>0</v>
      </c>
      <c r="R98" s="127">
        <v>2022</v>
      </c>
      <c r="S98" s="228">
        <v>2</v>
      </c>
      <c r="T98" s="228">
        <f>6+S98</f>
        <v>8</v>
      </c>
      <c r="U98" s="228">
        <f>8+T98</f>
        <v>16</v>
      </c>
      <c r="V98" s="228">
        <f>10+U98</f>
        <v>26</v>
      </c>
      <c r="W98" s="228"/>
      <c r="X98" s="228"/>
      <c r="Y98" s="228"/>
      <c r="Z98" s="324"/>
      <c r="AA98" s="324"/>
      <c r="AB98" s="228">
        <f>+V98</f>
        <v>26</v>
      </c>
      <c r="AC98" s="328">
        <v>40</v>
      </c>
      <c r="AD98" s="328">
        <v>60</v>
      </c>
      <c r="AE98" s="328">
        <v>60</v>
      </c>
      <c r="AF98" s="328">
        <v>80</v>
      </c>
      <c r="AG98" s="330"/>
      <c r="AH98" s="330"/>
      <c r="AI98" s="330"/>
      <c r="AJ98" s="330"/>
      <c r="AK98" s="330"/>
      <c r="AL98" s="454">
        <f t="shared" si="46"/>
        <v>240</v>
      </c>
      <c r="AM98" s="225">
        <v>40</v>
      </c>
      <c r="AN98" s="225" t="s">
        <v>397</v>
      </c>
      <c r="AO98" s="226"/>
      <c r="AP98" s="136"/>
      <c r="AQ98" s="226">
        <v>60</v>
      </c>
      <c r="AR98" s="136" t="s">
        <v>397</v>
      </c>
      <c r="AS98" s="226"/>
      <c r="AT98" s="136"/>
      <c r="AU98" s="226">
        <v>60</v>
      </c>
      <c r="AV98" s="136" t="s">
        <v>397</v>
      </c>
      <c r="AW98" s="226"/>
      <c r="AX98" s="136"/>
      <c r="AY98" s="226">
        <v>80</v>
      </c>
      <c r="AZ98" s="136" t="s">
        <v>397</v>
      </c>
      <c r="BA98" s="226"/>
      <c r="BB98" s="136"/>
      <c r="BC98" s="226"/>
      <c r="BD98" s="136"/>
      <c r="BE98" s="226"/>
      <c r="BF98" s="136"/>
      <c r="BG98" s="226"/>
      <c r="BH98" s="136"/>
      <c r="BI98" s="226"/>
      <c r="BJ98" s="136"/>
      <c r="BK98" s="226"/>
      <c r="BL98" s="136"/>
      <c r="BM98" s="226"/>
      <c r="BN98" s="136"/>
      <c r="BO98" s="226"/>
      <c r="BP98" s="136"/>
      <c r="BQ98" s="226"/>
      <c r="BR98" s="226"/>
      <c r="BS98" s="136"/>
      <c r="BT98" s="226"/>
      <c r="BU98" s="136"/>
      <c r="BV98" s="194"/>
      <c r="BW98" s="97">
        <f t="shared" si="47"/>
        <v>240</v>
      </c>
      <c r="BX98" s="384"/>
      <c r="BY98" s="305"/>
      <c r="BZ98" s="291"/>
      <c r="CA98" s="291"/>
      <c r="CB98" s="97"/>
      <c r="CC98" s="291"/>
      <c r="CD98" s="305"/>
      <c r="CE98" s="305"/>
      <c r="CF98" s="305"/>
      <c r="CG98" s="291"/>
      <c r="CH98" s="291"/>
      <c r="CI98" s="97"/>
      <c r="CJ98" s="291"/>
      <c r="CK98" s="305"/>
      <c r="CL98" s="305"/>
      <c r="CM98" s="305"/>
      <c r="CN98" s="291"/>
      <c r="CO98" s="291"/>
      <c r="CP98" s="97"/>
      <c r="CQ98" s="291"/>
      <c r="CR98" s="305"/>
      <c r="CS98" s="305"/>
      <c r="CT98" s="305"/>
      <c r="CU98" s="291"/>
      <c r="CV98" s="291"/>
      <c r="CW98" s="97"/>
      <c r="CX98" s="291"/>
      <c r="CY98" s="305"/>
      <c r="CZ98" s="305"/>
      <c r="DA98" s="305"/>
      <c r="DB98" s="291"/>
      <c r="DC98" s="291"/>
      <c r="DD98" s="97"/>
      <c r="DE98" s="291"/>
      <c r="DF98" s="305"/>
      <c r="DG98" s="305"/>
      <c r="DH98" s="305"/>
      <c r="DI98" s="291"/>
      <c r="DJ98" s="291"/>
      <c r="DK98" s="97"/>
      <c r="DL98" s="291"/>
      <c r="DM98" s="305"/>
      <c r="DN98" s="305"/>
    </row>
    <row r="99" spans="1:118" s="376" customFormat="1" ht="89.25">
      <c r="B99" s="535"/>
      <c r="C99" s="527"/>
      <c r="D99" s="388" t="s">
        <v>1410</v>
      </c>
      <c r="E99" s="432">
        <v>1E-3</v>
      </c>
      <c r="F99" s="438" t="s">
        <v>90</v>
      </c>
      <c r="G99" s="316" t="s">
        <v>335</v>
      </c>
      <c r="H99" s="316" t="s">
        <v>336</v>
      </c>
      <c r="I99" s="316" t="s">
        <v>337</v>
      </c>
      <c r="J99" s="385" t="s">
        <v>338</v>
      </c>
      <c r="K99" s="362">
        <v>44713</v>
      </c>
      <c r="L99" s="362">
        <v>47848</v>
      </c>
      <c r="M99" s="316" t="s">
        <v>97</v>
      </c>
      <c r="N99" s="316" t="s">
        <v>1231</v>
      </c>
      <c r="O99" s="316" t="s">
        <v>1232</v>
      </c>
      <c r="P99" s="316" t="s">
        <v>87</v>
      </c>
      <c r="Q99" s="391">
        <v>6</v>
      </c>
      <c r="R99" s="338">
        <v>2021</v>
      </c>
      <c r="S99" s="391">
        <v>6</v>
      </c>
      <c r="T99" s="391">
        <v>7</v>
      </c>
      <c r="U99" s="391">
        <v>7</v>
      </c>
      <c r="V99" s="391">
        <v>7</v>
      </c>
      <c r="W99" s="391">
        <v>8</v>
      </c>
      <c r="X99" s="391">
        <v>8</v>
      </c>
      <c r="Y99" s="391">
        <v>8</v>
      </c>
      <c r="Z99" s="391">
        <v>9</v>
      </c>
      <c r="AA99" s="391">
        <v>9</v>
      </c>
      <c r="AB99" s="391">
        <v>9</v>
      </c>
      <c r="AC99" s="333"/>
      <c r="AD99" s="328">
        <v>148</v>
      </c>
      <c r="AE99" s="328"/>
      <c r="AF99" s="328"/>
      <c r="AG99" s="328">
        <v>161</v>
      </c>
      <c r="AH99" s="328"/>
      <c r="AI99" s="328"/>
      <c r="AJ99" s="328">
        <v>176.7</v>
      </c>
      <c r="AK99" s="328"/>
      <c r="AL99" s="467">
        <f t="shared" si="46"/>
        <v>485.7</v>
      </c>
      <c r="AM99" s="381"/>
      <c r="AN99" s="381" t="s">
        <v>88</v>
      </c>
      <c r="AO99" s="339"/>
      <c r="AP99" s="316"/>
      <c r="AQ99" s="328">
        <v>148</v>
      </c>
      <c r="AR99" s="381" t="s">
        <v>88</v>
      </c>
      <c r="AS99" s="381"/>
      <c r="AT99" s="316"/>
      <c r="AU99" s="339"/>
      <c r="AV99" s="381" t="s">
        <v>88</v>
      </c>
      <c r="AW99" s="381"/>
      <c r="AX99" s="316"/>
      <c r="AY99" s="339"/>
      <c r="AZ99" s="381" t="s">
        <v>88</v>
      </c>
      <c r="BA99" s="381"/>
      <c r="BB99" s="316"/>
      <c r="BC99" s="328">
        <v>161</v>
      </c>
      <c r="BD99" s="381" t="s">
        <v>88</v>
      </c>
      <c r="BE99" s="381"/>
      <c r="BF99" s="316"/>
      <c r="BG99" s="381"/>
      <c r="BH99" s="381" t="s">
        <v>88</v>
      </c>
      <c r="BI99" s="381"/>
      <c r="BJ99" s="316"/>
      <c r="BK99" s="339"/>
      <c r="BL99" s="381" t="s">
        <v>88</v>
      </c>
      <c r="BM99" s="381"/>
      <c r="BN99" s="316"/>
      <c r="BO99" s="328">
        <v>176.7</v>
      </c>
      <c r="BP99" s="381" t="s">
        <v>88</v>
      </c>
      <c r="BQ99" s="381"/>
      <c r="BR99" s="316"/>
      <c r="BS99" s="339"/>
      <c r="BT99" s="381" t="s">
        <v>88</v>
      </c>
      <c r="BU99" s="381"/>
      <c r="BV99" s="316"/>
      <c r="BW99" s="97">
        <f t="shared" si="47"/>
        <v>485.7</v>
      </c>
      <c r="BX99" s="384"/>
      <c r="BY99" s="326"/>
      <c r="BZ99" s="325"/>
      <c r="CA99" s="325"/>
      <c r="CB99" s="97"/>
      <c r="CC99" s="325"/>
      <c r="CD99" s="326"/>
      <c r="CE99" s="326"/>
      <c r="CF99" s="326"/>
      <c r="CG99" s="325"/>
      <c r="CH99" s="325"/>
      <c r="CI99" s="97"/>
      <c r="CJ99" s="325"/>
      <c r="CK99" s="326"/>
      <c r="CL99" s="326"/>
      <c r="CM99" s="326"/>
      <c r="CN99" s="325"/>
      <c r="CO99" s="325"/>
      <c r="CP99" s="97"/>
      <c r="CQ99" s="325"/>
      <c r="CR99" s="326"/>
      <c r="CS99" s="326"/>
      <c r="CT99" s="326"/>
      <c r="CU99" s="325"/>
      <c r="CV99" s="325"/>
      <c r="CW99" s="97"/>
      <c r="CX99" s="325"/>
      <c r="CY99" s="326"/>
      <c r="CZ99" s="326"/>
      <c r="DA99" s="326"/>
      <c r="DB99" s="325"/>
      <c r="DC99" s="325"/>
      <c r="DD99" s="97"/>
      <c r="DE99" s="325"/>
      <c r="DF99" s="326"/>
      <c r="DG99" s="326"/>
      <c r="DH99" s="326"/>
      <c r="DI99" s="325"/>
      <c r="DJ99" s="325"/>
      <c r="DK99" s="97"/>
      <c r="DL99" s="325"/>
      <c r="DM99" s="326"/>
      <c r="DN99" s="326"/>
    </row>
    <row r="100" spans="1:118" s="376" customFormat="1" ht="51">
      <c r="B100" s="535"/>
      <c r="C100" s="527"/>
      <c r="D100" s="388" t="s">
        <v>1411</v>
      </c>
      <c r="E100" s="432">
        <v>1E-3</v>
      </c>
      <c r="F100" s="438" t="s">
        <v>90</v>
      </c>
      <c r="G100" s="316" t="s">
        <v>335</v>
      </c>
      <c r="H100" s="316" t="s">
        <v>336</v>
      </c>
      <c r="I100" s="316" t="s">
        <v>337</v>
      </c>
      <c r="J100" s="385" t="s">
        <v>338</v>
      </c>
      <c r="K100" s="362">
        <v>44713</v>
      </c>
      <c r="L100" s="156">
        <v>47848</v>
      </c>
      <c r="M100" s="316" t="s">
        <v>97</v>
      </c>
      <c r="N100" s="316" t="s">
        <v>400</v>
      </c>
      <c r="O100" s="316" t="s">
        <v>1020</v>
      </c>
      <c r="P100" s="316" t="s">
        <v>87</v>
      </c>
      <c r="Q100" s="391">
        <v>4</v>
      </c>
      <c r="R100" s="338">
        <v>2021</v>
      </c>
      <c r="S100" s="391">
        <v>1</v>
      </c>
      <c r="T100" s="391">
        <v>2</v>
      </c>
      <c r="U100" s="391">
        <v>3</v>
      </c>
      <c r="V100" s="391">
        <v>4</v>
      </c>
      <c r="W100" s="391">
        <v>5</v>
      </c>
      <c r="X100" s="391">
        <v>6</v>
      </c>
      <c r="Y100" s="391">
        <v>7</v>
      </c>
      <c r="Z100" s="391">
        <v>8</v>
      </c>
      <c r="AA100" s="391">
        <v>9</v>
      </c>
      <c r="AB100" s="391">
        <v>9</v>
      </c>
      <c r="AC100" s="333"/>
      <c r="AD100" s="328">
        <v>480</v>
      </c>
      <c r="AE100" s="328">
        <v>494.4</v>
      </c>
      <c r="AF100" s="328">
        <v>509.2</v>
      </c>
      <c r="AG100" s="328">
        <v>524.5</v>
      </c>
      <c r="AH100" s="328">
        <v>540.20000000000005</v>
      </c>
      <c r="AI100" s="328">
        <v>556.4</v>
      </c>
      <c r="AJ100" s="328">
        <v>573.1</v>
      </c>
      <c r="AK100" s="381">
        <v>590.29999999999995</v>
      </c>
      <c r="AL100" s="387">
        <f t="shared" si="46"/>
        <v>4268.1000000000004</v>
      </c>
      <c r="AM100" s="381"/>
      <c r="AN100" s="225" t="s">
        <v>88</v>
      </c>
      <c r="AO100" s="339"/>
      <c r="AP100" s="316"/>
      <c r="AQ100" s="381">
        <v>480</v>
      </c>
      <c r="AR100" s="316" t="s">
        <v>114</v>
      </c>
      <c r="AS100" s="381"/>
      <c r="AT100" s="316"/>
      <c r="AU100" s="381">
        <v>494.4</v>
      </c>
      <c r="AV100" s="316" t="s">
        <v>114</v>
      </c>
      <c r="AW100" s="381"/>
      <c r="AX100" s="316"/>
      <c r="AY100" s="381">
        <v>509.2</v>
      </c>
      <c r="AZ100" s="316" t="s">
        <v>114</v>
      </c>
      <c r="BA100" s="381"/>
      <c r="BB100" s="316"/>
      <c r="BC100" s="381">
        <v>524.5</v>
      </c>
      <c r="BD100" s="316" t="s">
        <v>114</v>
      </c>
      <c r="BE100" s="381"/>
      <c r="BF100" s="316"/>
      <c r="BG100" s="381">
        <v>540.20000000000005</v>
      </c>
      <c r="BH100" s="316" t="s">
        <v>114</v>
      </c>
      <c r="BI100" s="381"/>
      <c r="BJ100" s="316"/>
      <c r="BK100" s="381">
        <v>556.4</v>
      </c>
      <c r="BL100" s="316" t="s">
        <v>114</v>
      </c>
      <c r="BM100" s="381"/>
      <c r="BN100" s="316"/>
      <c r="BO100" s="381">
        <v>573.1</v>
      </c>
      <c r="BP100" s="316" t="s">
        <v>114</v>
      </c>
      <c r="BQ100" s="381"/>
      <c r="BR100" s="316"/>
      <c r="BS100" s="381">
        <v>590.29999999999995</v>
      </c>
      <c r="BT100" s="316" t="s">
        <v>114</v>
      </c>
      <c r="BU100" s="381"/>
      <c r="BV100" s="316"/>
      <c r="BW100" s="97">
        <f t="shared" si="47"/>
        <v>4268.1000000000004</v>
      </c>
      <c r="BX100" s="384"/>
      <c r="BY100" s="326"/>
      <c r="BZ100" s="325"/>
      <c r="CA100" s="325"/>
      <c r="CB100" s="97"/>
      <c r="CC100" s="325"/>
      <c r="CD100" s="326"/>
      <c r="CE100" s="326"/>
      <c r="CF100" s="326"/>
      <c r="CG100" s="325"/>
      <c r="CH100" s="325"/>
      <c r="CI100" s="97"/>
      <c r="CJ100" s="325"/>
      <c r="CK100" s="326"/>
      <c r="CL100" s="326"/>
      <c r="CM100" s="326"/>
      <c r="CN100" s="325"/>
      <c r="CO100" s="325"/>
      <c r="CP100" s="97"/>
      <c r="CQ100" s="325"/>
      <c r="CR100" s="326"/>
      <c r="CS100" s="326"/>
      <c r="CT100" s="326"/>
      <c r="CU100" s="325"/>
      <c r="CV100" s="325"/>
      <c r="CW100" s="97"/>
      <c r="CX100" s="325"/>
      <c r="CY100" s="326"/>
      <c r="CZ100" s="326"/>
      <c r="DA100" s="326"/>
      <c r="DB100" s="325"/>
      <c r="DC100" s="325"/>
      <c r="DD100" s="97"/>
      <c r="DE100" s="325"/>
      <c r="DF100" s="326"/>
      <c r="DG100" s="326"/>
      <c r="DH100" s="326"/>
      <c r="DI100" s="325"/>
      <c r="DJ100" s="325"/>
      <c r="DK100" s="97"/>
      <c r="DL100" s="325"/>
      <c r="DM100" s="326"/>
      <c r="DN100" s="326"/>
    </row>
    <row r="101" spans="1:118" s="376" customFormat="1" ht="127.5">
      <c r="B101" s="535"/>
      <c r="C101" s="527"/>
      <c r="D101" s="366" t="s">
        <v>1412</v>
      </c>
      <c r="E101" s="432">
        <v>1E-3</v>
      </c>
      <c r="F101" s="438" t="s">
        <v>90</v>
      </c>
      <c r="G101" s="316" t="s">
        <v>335</v>
      </c>
      <c r="H101" s="316" t="s">
        <v>336</v>
      </c>
      <c r="I101" s="316" t="s">
        <v>360</v>
      </c>
      <c r="J101" s="385" t="s">
        <v>338</v>
      </c>
      <c r="K101" s="458">
        <v>45078</v>
      </c>
      <c r="L101" s="458">
        <v>46387</v>
      </c>
      <c r="M101" s="338" t="s">
        <v>377</v>
      </c>
      <c r="N101" s="316" t="s">
        <v>401</v>
      </c>
      <c r="O101" s="316" t="s">
        <v>1233</v>
      </c>
      <c r="P101" s="316" t="s">
        <v>87</v>
      </c>
      <c r="Q101" s="372">
        <v>0</v>
      </c>
      <c r="R101" s="338">
        <v>2021</v>
      </c>
      <c r="S101" s="465"/>
      <c r="T101" s="404">
        <v>0.1</v>
      </c>
      <c r="U101" s="405">
        <v>0.3</v>
      </c>
      <c r="V101" s="405">
        <v>0.8</v>
      </c>
      <c r="W101" s="405">
        <v>1</v>
      </c>
      <c r="X101" s="367"/>
      <c r="Y101" s="367"/>
      <c r="Z101" s="367"/>
      <c r="AA101" s="367"/>
      <c r="AB101" s="372">
        <v>1</v>
      </c>
      <c r="AC101" s="334"/>
      <c r="AD101" s="334">
        <v>10</v>
      </c>
      <c r="AE101" s="333">
        <v>50</v>
      </c>
      <c r="AF101" s="333">
        <v>725</v>
      </c>
      <c r="AG101" s="333">
        <v>120</v>
      </c>
      <c r="AH101" s="333"/>
      <c r="AI101" s="333"/>
      <c r="AJ101" s="333"/>
      <c r="AK101" s="333"/>
      <c r="AL101" s="387">
        <f t="shared" si="46"/>
        <v>905</v>
      </c>
      <c r="AM101" s="316"/>
      <c r="AN101" s="316"/>
      <c r="AO101" s="339"/>
      <c r="AP101" s="316"/>
      <c r="AQ101" s="334">
        <v>10</v>
      </c>
      <c r="AR101" s="316" t="s">
        <v>80</v>
      </c>
      <c r="AS101" s="338"/>
      <c r="AT101" s="316"/>
      <c r="AU101" s="333">
        <v>50</v>
      </c>
      <c r="AV101" s="316" t="s">
        <v>80</v>
      </c>
      <c r="AW101" s="338"/>
      <c r="AX101" s="316"/>
      <c r="AY101" s="333">
        <v>725</v>
      </c>
      <c r="AZ101" s="316" t="s">
        <v>80</v>
      </c>
      <c r="BA101" s="338"/>
      <c r="BB101" s="316"/>
      <c r="BC101" s="333">
        <v>120</v>
      </c>
      <c r="BD101" s="316" t="s">
        <v>80</v>
      </c>
      <c r="BE101" s="338"/>
      <c r="BF101" s="316"/>
      <c r="BG101" s="338"/>
      <c r="BH101" s="316"/>
      <c r="BI101" s="338"/>
      <c r="BJ101" s="316"/>
      <c r="BK101" s="338"/>
      <c r="BL101" s="316"/>
      <c r="BM101" s="338"/>
      <c r="BN101" s="316"/>
      <c r="BO101" s="338"/>
      <c r="BP101" s="316"/>
      <c r="BQ101" s="338"/>
      <c r="BR101" s="316"/>
      <c r="BS101" s="338"/>
      <c r="BT101" s="316"/>
      <c r="BU101" s="338"/>
      <c r="BV101" s="316"/>
      <c r="BW101" s="97">
        <f t="shared" si="47"/>
        <v>905</v>
      </c>
      <c r="BX101" s="384"/>
      <c r="BY101" s="326"/>
      <c r="BZ101" s="325"/>
      <c r="CA101" s="325"/>
      <c r="CB101" s="97"/>
      <c r="CC101" s="325"/>
      <c r="CD101" s="326"/>
      <c r="CE101" s="326"/>
      <c r="CF101" s="326"/>
      <c r="CG101" s="325"/>
      <c r="CH101" s="325"/>
      <c r="CI101" s="97"/>
      <c r="CJ101" s="325"/>
      <c r="CK101" s="326"/>
      <c r="CL101" s="326"/>
      <c r="CM101" s="326"/>
      <c r="CN101" s="325"/>
      <c r="CO101" s="325"/>
      <c r="CP101" s="97"/>
      <c r="CQ101" s="325"/>
      <c r="CR101" s="326"/>
      <c r="CS101" s="326"/>
      <c r="CT101" s="326"/>
      <c r="CU101" s="325"/>
      <c r="CV101" s="325"/>
      <c r="CW101" s="97"/>
      <c r="CX101" s="325"/>
      <c r="CY101" s="326"/>
      <c r="CZ101" s="326"/>
      <c r="DA101" s="326"/>
      <c r="DB101" s="325"/>
      <c r="DC101" s="325"/>
      <c r="DD101" s="97"/>
      <c r="DE101" s="325"/>
      <c r="DF101" s="326"/>
      <c r="DG101" s="326"/>
      <c r="DH101" s="326"/>
      <c r="DI101" s="325"/>
      <c r="DJ101" s="325"/>
      <c r="DK101" s="97"/>
      <c r="DL101" s="325"/>
      <c r="DM101" s="326"/>
      <c r="DN101" s="326"/>
    </row>
    <row r="102" spans="1:118" s="376" customFormat="1" ht="127.5">
      <c r="B102" s="535"/>
      <c r="C102" s="527"/>
      <c r="D102" s="233" t="s">
        <v>1413</v>
      </c>
      <c r="E102" s="432">
        <v>1E-3</v>
      </c>
      <c r="F102" s="438" t="s">
        <v>90</v>
      </c>
      <c r="G102" s="314" t="s">
        <v>402</v>
      </c>
      <c r="H102" s="392" t="s">
        <v>357</v>
      </c>
      <c r="I102" s="396" t="s">
        <v>358</v>
      </c>
      <c r="J102" s="385" t="s">
        <v>359</v>
      </c>
      <c r="K102" s="362">
        <v>44713</v>
      </c>
      <c r="L102" s="362">
        <v>45657</v>
      </c>
      <c r="M102" s="396" t="s">
        <v>97</v>
      </c>
      <c r="N102" s="392" t="s">
        <v>1021</v>
      </c>
      <c r="O102" s="392" t="s">
        <v>1234</v>
      </c>
      <c r="P102" s="316" t="s">
        <v>87</v>
      </c>
      <c r="Q102" s="390">
        <v>0</v>
      </c>
      <c r="R102" s="338">
        <v>2022</v>
      </c>
      <c r="S102" s="399">
        <v>0.4</v>
      </c>
      <c r="T102" s="399">
        <v>0.6</v>
      </c>
      <c r="U102" s="399">
        <v>1</v>
      </c>
      <c r="V102" s="367"/>
      <c r="W102" s="367"/>
      <c r="X102" s="367"/>
      <c r="Y102" s="194"/>
      <c r="Z102" s="194"/>
      <c r="AA102" s="194"/>
      <c r="AB102" s="203">
        <v>1</v>
      </c>
      <c r="AC102" s="328">
        <v>100</v>
      </c>
      <c r="AD102" s="328">
        <v>50</v>
      </c>
      <c r="AE102" s="328">
        <v>50</v>
      </c>
      <c r="AF102" s="328"/>
      <c r="AG102" s="328"/>
      <c r="AH102" s="328"/>
      <c r="AI102" s="328"/>
      <c r="AJ102" s="328"/>
      <c r="AK102" s="328"/>
      <c r="AL102" s="387">
        <f t="shared" si="46"/>
        <v>200</v>
      </c>
      <c r="AM102" s="271">
        <v>100</v>
      </c>
      <c r="AN102" s="272" t="s">
        <v>114</v>
      </c>
      <c r="AO102" s="273"/>
      <c r="AP102" s="272"/>
      <c r="AQ102" s="271">
        <v>50</v>
      </c>
      <c r="AR102" s="272" t="s">
        <v>114</v>
      </c>
      <c r="AS102" s="273"/>
      <c r="AT102" s="272"/>
      <c r="AU102" s="271">
        <v>50</v>
      </c>
      <c r="AV102" s="272" t="s">
        <v>114</v>
      </c>
      <c r="AW102" s="273"/>
      <c r="AX102" s="272"/>
      <c r="AY102" s="271"/>
      <c r="AZ102" s="272"/>
      <c r="BA102" s="273"/>
      <c r="BB102" s="273"/>
      <c r="BC102" s="271"/>
      <c r="BD102" s="272"/>
      <c r="BE102" s="321"/>
      <c r="BF102" s="194"/>
      <c r="BG102" s="321"/>
      <c r="BH102" s="194"/>
      <c r="BI102" s="321"/>
      <c r="BJ102" s="194"/>
      <c r="BK102" s="321"/>
      <c r="BL102" s="194"/>
      <c r="BM102" s="321"/>
      <c r="BN102" s="194"/>
      <c r="BO102" s="321"/>
      <c r="BP102" s="194"/>
      <c r="BQ102" s="321"/>
      <c r="BR102" s="194"/>
      <c r="BS102" s="190"/>
      <c r="BT102" s="194"/>
      <c r="BU102" s="190"/>
      <c r="BV102" s="194"/>
      <c r="BW102" s="97">
        <f t="shared" si="47"/>
        <v>200</v>
      </c>
      <c r="BX102" s="384"/>
      <c r="BY102" s="326"/>
      <c r="BZ102" s="325"/>
      <c r="CA102" s="325"/>
      <c r="CB102" s="97"/>
      <c r="CC102" s="325"/>
      <c r="CD102" s="326"/>
      <c r="CE102" s="326"/>
      <c r="CF102" s="326"/>
      <c r="CG102" s="325"/>
      <c r="CH102" s="325"/>
      <c r="CI102" s="97"/>
      <c r="CJ102" s="325"/>
      <c r="CK102" s="326"/>
      <c r="CL102" s="326"/>
      <c r="CM102" s="326"/>
      <c r="CN102" s="325"/>
      <c r="CO102" s="325"/>
      <c r="CP102" s="97"/>
      <c r="CQ102" s="325"/>
      <c r="CR102" s="326"/>
      <c r="CS102" s="326"/>
      <c r="CT102" s="326"/>
      <c r="CU102" s="325"/>
      <c r="CV102" s="325"/>
      <c r="CW102" s="97"/>
      <c r="CX102" s="325"/>
      <c r="CY102" s="326"/>
      <c r="CZ102" s="326"/>
      <c r="DA102" s="326"/>
      <c r="DB102" s="325"/>
      <c r="DC102" s="325"/>
      <c r="DD102" s="97"/>
      <c r="DE102" s="325"/>
      <c r="DF102" s="326"/>
      <c r="DG102" s="326"/>
      <c r="DH102" s="326"/>
      <c r="DI102" s="325"/>
      <c r="DJ102" s="325"/>
      <c r="DK102" s="97"/>
      <c r="DL102" s="325"/>
      <c r="DM102" s="326"/>
      <c r="DN102" s="326"/>
    </row>
    <row r="103" spans="1:118" s="376" customFormat="1" ht="38.25">
      <c r="B103" s="533" t="s">
        <v>403</v>
      </c>
      <c r="C103" s="527">
        <v>0.15</v>
      </c>
      <c r="D103" s="306" t="s">
        <v>404</v>
      </c>
      <c r="E103" s="432">
        <v>8.9999999999999993E-3</v>
      </c>
      <c r="F103" s="438" t="s">
        <v>90</v>
      </c>
      <c r="G103" s="438" t="s">
        <v>405</v>
      </c>
      <c r="H103" s="438" t="s">
        <v>406</v>
      </c>
      <c r="I103" s="438" t="s">
        <v>407</v>
      </c>
      <c r="J103" s="385" t="s">
        <v>408</v>
      </c>
      <c r="K103" s="364">
        <v>44743</v>
      </c>
      <c r="L103" s="156">
        <v>47848</v>
      </c>
      <c r="M103" s="315" t="s">
        <v>97</v>
      </c>
      <c r="N103" s="315" t="s">
        <v>1235</v>
      </c>
      <c r="O103" s="315" t="s">
        <v>1236</v>
      </c>
      <c r="P103" s="315" t="s">
        <v>87</v>
      </c>
      <c r="Q103" s="23">
        <v>0</v>
      </c>
      <c r="R103" s="200">
        <v>2022</v>
      </c>
      <c r="S103" s="209">
        <v>1</v>
      </c>
      <c r="T103" s="209">
        <v>2</v>
      </c>
      <c r="U103" s="209">
        <v>3</v>
      </c>
      <c r="V103" s="209">
        <v>4</v>
      </c>
      <c r="W103" s="209">
        <v>5</v>
      </c>
      <c r="X103" s="209">
        <v>6</v>
      </c>
      <c r="Y103" s="209">
        <v>7</v>
      </c>
      <c r="Z103" s="209">
        <v>8</v>
      </c>
      <c r="AA103" s="209">
        <v>9</v>
      </c>
      <c r="AB103" s="194">
        <v>9</v>
      </c>
      <c r="AC103" s="328">
        <v>5</v>
      </c>
      <c r="AD103" s="328">
        <v>10</v>
      </c>
      <c r="AE103" s="328">
        <v>10</v>
      </c>
      <c r="AF103" s="328">
        <v>10</v>
      </c>
      <c r="AG103" s="328">
        <v>10</v>
      </c>
      <c r="AH103" s="328">
        <v>10</v>
      </c>
      <c r="AI103" s="328">
        <v>10</v>
      </c>
      <c r="AJ103" s="328">
        <v>10</v>
      </c>
      <c r="AK103" s="328">
        <v>10</v>
      </c>
      <c r="AL103" s="387">
        <f t="shared" si="46"/>
        <v>85</v>
      </c>
      <c r="AM103" s="214">
        <v>5</v>
      </c>
      <c r="AN103" s="194" t="s">
        <v>126</v>
      </c>
      <c r="AO103" s="214"/>
      <c r="AP103" s="194"/>
      <c r="AQ103" s="214">
        <v>10</v>
      </c>
      <c r="AR103" s="194" t="s">
        <v>126</v>
      </c>
      <c r="AS103" s="214"/>
      <c r="AT103" s="194"/>
      <c r="AU103" s="214">
        <v>10</v>
      </c>
      <c r="AV103" s="194" t="s">
        <v>126</v>
      </c>
      <c r="AW103" s="214"/>
      <c r="AX103" s="194"/>
      <c r="AY103" s="214">
        <v>10</v>
      </c>
      <c r="AZ103" s="194" t="s">
        <v>126</v>
      </c>
      <c r="BA103" s="214"/>
      <c r="BB103" s="194"/>
      <c r="BC103" s="214">
        <v>10</v>
      </c>
      <c r="BD103" s="194" t="s">
        <v>126</v>
      </c>
      <c r="BE103" s="214"/>
      <c r="BF103" s="194"/>
      <c r="BG103" s="214">
        <v>10</v>
      </c>
      <c r="BH103" s="194" t="s">
        <v>126</v>
      </c>
      <c r="BI103" s="214"/>
      <c r="BJ103" s="194"/>
      <c r="BK103" s="214">
        <v>10</v>
      </c>
      <c r="BL103" s="194" t="s">
        <v>126</v>
      </c>
      <c r="BM103" s="214"/>
      <c r="BN103" s="194"/>
      <c r="BO103" s="214">
        <v>10</v>
      </c>
      <c r="BP103" s="194" t="s">
        <v>126</v>
      </c>
      <c r="BQ103" s="214"/>
      <c r="BR103" s="194"/>
      <c r="BS103" s="214">
        <v>10</v>
      </c>
      <c r="BT103" s="194" t="s">
        <v>126</v>
      </c>
      <c r="BU103" s="214"/>
      <c r="BV103" s="194"/>
      <c r="BW103" s="97">
        <f t="shared" si="47"/>
        <v>85</v>
      </c>
      <c r="BX103" s="384" t="s">
        <v>82</v>
      </c>
      <c r="BY103" s="326"/>
      <c r="BZ103" s="325" t="str">
        <f>IF(BY103="","",IF(IF(OR(P103=[10]Desplegables!$B$5,P103=[10]Desplegables!$B$6,),(Q103-BY103)/(Q103-S103),BY103/S103)&lt;0,0%,IF(IF(OR(P103=[10]Desplegables!$B$5,P103=[10]Desplegables!$B$6,),(Q103-BY103)/(Q103-S103),BY103/S103)&gt;1,100%,IF(OR(P103=[10]Desplegables!$B$5,P103=[10]Desplegables!$B$6,),(Q103-BY103)/(Q103-S103),BY103/S103))))</f>
        <v/>
      </c>
      <c r="CA103" s="325" t="str">
        <f>IF(BY103="","",IF(IF(OR(P103=[10]Desplegables!$B$5,P103=[10]Desplegables!$B$6,),(Q103-BY103)/(Q103-AB103),BY103/AB103)&lt;0,0%,IF(IF(OR(P103=[10]Desplegables!$B$5,P103=[10]Desplegables!$B$6,),(Q103-BY103)/(Q103-AB103),BY103/AB103)&gt;1,100%,IF(OR(P103=[10]Desplegables!$B$5,P103=[10]Desplegables!$B$6,),(Q103-BY103)/(Q103-AB103),BY103/AB103))))</f>
        <v/>
      </c>
      <c r="CB103" s="97"/>
      <c r="CC103" s="325" t="str">
        <f t="shared" ref="CC103" si="65">IF(CB103="","",IF(CB103/SUM(AM103,AO103)&gt;1,100%,CB103/SUM(AM103,AO103)))</f>
        <v/>
      </c>
      <c r="CD103" s="546" t="str">
        <f>IFERROR((SUMPRODUCT($E$120:$E$134,BZ103:BZ119)*100%)/SUM($E$120:$E$134),"")</f>
        <v/>
      </c>
      <c r="CE103" s="546" t="str">
        <f>IFERROR((SUMPRODUCT($E$120:$E$134,CA103:CA119)*100%)/SUM($E$120:$E$134),"")</f>
        <v/>
      </c>
      <c r="CF103" s="326"/>
      <c r="CG103" s="325" t="str">
        <f>IF(CF103="","",IF(IF(OR(P103=[10]Desplegables!$B$5,P103=[10]Desplegables!$B$6,),(Q103-CF103)/(Q103-S103),CF103/S103)&lt;0,0%,IF(IF(OR(P103=[10]Desplegables!$B$5,P103=[10]Desplegables!$B$6,),(Q103-CF103)/(Q103-S103),CF103/S103)&gt;1,100%,IF(OR(P103=[10]Desplegables!$B$5,P103=[10]Desplegables!$B$6,),(Q103-CF103)/(Q103-S103),CF103/S103))))</f>
        <v/>
      </c>
      <c r="CH103" s="325" t="str">
        <f>IF(CF103="","",IF(IF(OR(P103=[10]Desplegables!$B$5,P103=[10]Desplegables!$B$6,),(Q103-CF103)/(Q103-AB103),CF103/AB103)&lt;0,0%,IF(IF(OR(P103=[10]Desplegables!$B$5,P103=[10]Desplegables!$B$6,),(Q103-CF103)/(Q103-AB103),CF103/AB103)&gt;1,100%,IF(OR(P103=[10]Desplegables!$B$5,P103=[10]Desplegables!$B$6,),(Q103-CF103)/(Q103-AB103),CF103/AB103))))</f>
        <v/>
      </c>
      <c r="CI103" s="97"/>
      <c r="CJ103" s="325" t="str">
        <f t="shared" ref="CJ103" si="66">IF(SUM(CB103,CI103)=0,"",IF(SUM(CB103,CI103)/SUM(AM103,AO103)&gt;1,100%,SUM(CB103,CI103)/SUM(AM103,AO103)))</f>
        <v/>
      </c>
      <c r="CK103" s="546" t="str">
        <f>IFERROR((SUMPRODUCT($E$120:$E$134,CG103:CG119)*100%)/SUM($E$120:$E$134),"")</f>
        <v/>
      </c>
      <c r="CL103" s="546" t="str">
        <f>IFERROR((SUMPRODUCT($E$120:$E$134,CH103:CH119)*100%)/SUM($E$120:$E$134),"")</f>
        <v/>
      </c>
      <c r="CM103" s="326"/>
      <c r="CN103" s="325" t="str">
        <f>IF(CM103="","",IF(IF(OR(P103=[10]Desplegables!$B$5,P103=[10]Desplegables!$B$6,),(Q103-CM103)/(Q103-T103),CM103/T103)&lt;0,0%,IF(IF(OR(P103=[10]Desplegables!$B$5,P103=[10]Desplegables!$B$6,),(Q103-CM103)/(Q103-T103),CM103/T103)&gt;1,100%,IF(OR(P103=[10]Desplegables!$B$5,P103=[10]Desplegables!$B$6,),(Q103-CM103)/(Q103-T103),CM103/T103))))</f>
        <v/>
      </c>
      <c r="CO103" s="325" t="str">
        <f>IF(CM103="","",IF(IF(OR(P103=[10]Desplegables!$B$5,P103=[10]Desplegables!$B$6,),(Q103-CM103)/(Q103-AB103),IF(P103=[10]Desplegables!$B$3,AVERAGE(CM103,CF103)/AB103,CM103/AB103))&lt;0,0%,IF(IF(OR(P103=[10]Desplegables!$B$5,P103=[10]Desplegables!$B$6,),(Q103-CM103)/(Q103-AB103),IF(P103=[10]Desplegables!$B$3,AVERAGE(CM103,CF103)/AB103,CM103/AB103))&gt;1,100%,IF(OR(P103=[10]Desplegables!$B$5,P103=[10]Desplegables!$B$6,),(Q103-CM103)/(Q103-AB103),IF(P103=[10]Desplegables!$B$3,AVERAGE(CM103,CF103)/AB103,CM103/AB103)))))</f>
        <v/>
      </c>
      <c r="CP103" s="97"/>
      <c r="CQ103" s="325" t="str">
        <f t="shared" ref="CQ103" si="67">IF(CP103="","",IF(CP103/SUM(AQ103,AS103)&gt;1,100%,CP103/SUM(AQ103,AS103)))</f>
        <v/>
      </c>
      <c r="CR103" s="546" t="str">
        <f>IFERROR((SUMPRODUCT($E$120:$E$134,CN103:CN119)*100%)/SUM($E$120:$E$134),"")</f>
        <v/>
      </c>
      <c r="CS103" s="546" t="str">
        <f>IFERROR((SUMPRODUCT($E$120:$E$134,CO103:CO119)*100%)/SUM($E$120:$E$134),"")</f>
        <v/>
      </c>
      <c r="CT103" s="326"/>
      <c r="CU103" s="325" t="str">
        <f>IF(CT103="","",IF(IF(OR(P103=[10]Desplegables!$B$5,P103=[10]Desplegables!$B$6,),(Q103-CT103)/(Q103-T103),CT103/T103)&lt;0,0%,IF(IF(OR(P103=[10]Desplegables!$B$5,P103=[10]Desplegables!$B$6,),(Q103-CT103)/(Q103-T103),CT103/T103)&gt;1,100%,IF(OR(P103=[10]Desplegables!$B$5,P103=[10]Desplegables!$B$6,),(Q103-CT103)/(Q103-T103),CT103/T103))))</f>
        <v/>
      </c>
      <c r="CV103" s="325" t="str">
        <f>IF(CT103="","",IF(IF(OR(P103=[10]Desplegables!$B$5,P103=[10]Desplegables!$B$6,),(Q103-CT103)/(Q103-AB103),IF(P103=[10]Desplegables!$B$3,AVERAGE(CT103,CF103)/AB103,CT103/AB103))&lt;0,0%,IF(IF(OR(P103=[10]Desplegables!$B$5,P103=[10]Desplegables!$B$6,),(Q103-CT103)/(Q103-AB103),IF(P103=[10]Desplegables!$B$3,AVERAGE(CT103,CF103)/AB103,CT103/AB103))&gt;1,100%,IF(OR(P103=[10]Desplegables!$B$5,P103=[10]Desplegables!$B$6,),(Q103-CT103)/(Q103-AB103),IF(P103=[10]Desplegables!$B$3,AVERAGE(CT103,CF103)/AB103,CT103/AB103)))))</f>
        <v/>
      </c>
      <c r="CW103" s="97"/>
      <c r="CX103" s="325" t="str">
        <f t="shared" ref="CX103" si="68">IF(SUM(CP103,CW103)=0,"",IF(SUM(CP103,CW103)/SUM(AQ103,AS103)&gt;1,100%,SUM(CP103,CW103)/SUM(AQ103,AS103)))</f>
        <v/>
      </c>
      <c r="CY103" s="546" t="str">
        <f>IFERROR((SUMPRODUCT($E$120:$E$134,CU103:CU119)*100%)/SUM($E$120:$E$134),"")</f>
        <v/>
      </c>
      <c r="CZ103" s="546" t="str">
        <f>IFERROR((SUMPRODUCT($E$120:$E$134,CV103:CV119)*100%)/SUM($E$120:$E$134),"")</f>
        <v/>
      </c>
      <c r="DA103" s="326"/>
      <c r="DB103" s="325" t="str">
        <f>IF(DA103="","",IF(IF(OR(P103=[10]Desplegables!$B$5,P103=[10]Desplegables!$B$6,),(Q103-DA103)/(Q103-AB103),IF(P103=[10]Desplegables!$B$3,DA103/U103,DA103/AB103))&lt;0,0%,IF(IF(OR(P103=[10]Desplegables!$B$5,P103=[10]Desplegables!$B$6,),(Q103-DA103)/(Q103-AB103),IF(P103=[10]Desplegables!$B$3,DA103/U103,DA103/AB103))&gt;1,100%,IF(OR(P103=[10]Desplegables!$B$5,P103=[10]Desplegables!$B$6,),(Q103-DA103)/(Q103-AB103),IF(P103=[10]Desplegables!$B$3,DA103/U103,DA103/AB103)))))</f>
        <v/>
      </c>
      <c r="DC103" s="325" t="str">
        <f>IF(DA103="","",IF(IF(OR(P103=[10]Desplegables!$B$5,P103=[10]Desplegables!$B$6,),(Q103-DA103)/(Q103-AB103),IF(P103=[10]Desplegables!$B$3,AVERAGE(DA103,CT103,CF103)/AB103,DA103/AB103))&lt;0,0%,IF(IF(OR(P103=[10]Desplegables!$B$5,P103=[10]Desplegables!$B$6,),(Q103-DA103)/(Q103-AB103),IF(P103=[10]Desplegables!$B$3,AVERAGE(DA103,CT103,CF103)/AB103,DA103/AB103))&gt;1,100%,IF(OR(P103=[10]Desplegables!$B$5,P103=[10]Desplegables!$B$6,),(Q103-DA103)/(Q103-AB103),IF(P103=[10]Desplegables!$B$3,AVERAGE(DA103,CT103,CF103)/AB103,DA103/AB103)))))</f>
        <v/>
      </c>
      <c r="DD103" s="97"/>
      <c r="DE103" s="325" t="str">
        <f t="shared" ref="DE103" si="69">IF(DD103="","",IF(DD103/SUM(BS103,BU103)&gt;1,100%,DD103/SUM(BS103,BU103)))</f>
        <v/>
      </c>
      <c r="DF103" s="546" t="str">
        <f>IFERROR((SUMPRODUCT($E$120:$E$134,DB103:DB119)*100%)/SUM($E$120:$E$134),"")</f>
        <v/>
      </c>
      <c r="DG103" s="546" t="str">
        <f>IFERROR((SUMPRODUCT($E$120:$E$134,DC103:DC119)*100%)/SUM($E$120:$E$134),"")</f>
        <v/>
      </c>
      <c r="DH103" s="326"/>
      <c r="DI103" s="325" t="str">
        <f>IF(DH103="","",IF(IF(OR(P103=[10]Desplegables!$B$5,P103=[10]Desplegables!$B$6,),(Q103-DH103)/(Q103-AB103),IF(P103=[10]Desplegables!$B$3,DH103/U103,DH103/AB103))&lt;0,0%,IF(IF(OR(P103=[10]Desplegables!$B$5,P103=[10]Desplegables!$B$6,),(Q103-DH103)/(Q103-AB103),IF(P103=[10]Desplegables!$B$3,DH103/U103,DH103/AB103))&gt;1,100%,IF(OR(P103=[10]Desplegables!$B$5,P103=[10]Desplegables!$B$6,),(Q103-DH103)/(Q103-AB103),IF(P103=[10]Desplegables!$B$3,DH103/U103,DH103/AB103)))))</f>
        <v/>
      </c>
      <c r="DJ103" s="325" t="str">
        <f>IF(DH103="","",IF(IF(OR(P103=[10]Desplegables!$B$5,P103=[10]Desplegables!$B$6,),(Q103-DH103)/(Q103-AB103),IF(P103=[10]Desplegables!$B$3,AVERAGE(DH103,CT103,CF103)/AB103,DH103/AB103))&lt;0,0%,IF(IF(OR(P103=[10]Desplegables!$B$5,P103=[10]Desplegables!$B$6,),(Q103-DH103)/(Q103-AB103),IF(P103=[10]Desplegables!$B$3,AVERAGE(DH103,CT103,CF103)/AB103,DH103/AB103))&gt;1,100%,IF(OR(P103=[10]Desplegables!$B$5,P103=[10]Desplegables!$B$6,),(Q103-DH103)/(Q103-AB103),IF(P103=[10]Desplegables!$B$3,AVERAGE(DH103,CT103,CF103)/AB103,DH103/AB103)))))</f>
        <v/>
      </c>
      <c r="DK103" s="97"/>
      <c r="DL103" s="325" t="str">
        <f t="shared" ref="DL103" si="70">IF(SUM(DD103,DK103)=0,"",IF(SUM(DD103,DK103)/SUM(BS103,BU103)&gt;1,100%,SUM(DD103,DK103)/SUM(BS103,BU103)))</f>
        <v/>
      </c>
      <c r="DM103" s="546" t="str">
        <f>IFERROR((SUMPRODUCT($E$120:$E$134,DI103:DI119)*100%)/SUM($E$120:$E$134),"")</f>
        <v/>
      </c>
      <c r="DN103" s="546" t="str">
        <f>IFERROR((SUMPRODUCT($E$120:$E$134,DJ103:DJ119)*100%)/SUM($E$120:$E$134),"")</f>
        <v/>
      </c>
    </row>
    <row r="104" spans="1:118" s="376" customFormat="1" ht="102">
      <c r="B104" s="533"/>
      <c r="C104" s="527"/>
      <c r="D104" s="306" t="s">
        <v>1237</v>
      </c>
      <c r="E104" s="431">
        <v>1.0999999999999999E-2</v>
      </c>
      <c r="F104" s="438" t="s">
        <v>90</v>
      </c>
      <c r="G104" s="438" t="s">
        <v>1238</v>
      </c>
      <c r="H104" s="406" t="s">
        <v>1023</v>
      </c>
      <c r="I104" s="438" t="s">
        <v>1022</v>
      </c>
      <c r="J104" s="385" t="s">
        <v>1024</v>
      </c>
      <c r="K104" s="364">
        <v>44958</v>
      </c>
      <c r="L104" s="156">
        <v>47848</v>
      </c>
      <c r="M104" s="315" t="s">
        <v>97</v>
      </c>
      <c r="N104" s="315" t="s">
        <v>409</v>
      </c>
      <c r="O104" s="315" t="s">
        <v>410</v>
      </c>
      <c r="P104" s="315" t="s">
        <v>87</v>
      </c>
      <c r="Q104" s="194">
        <v>0</v>
      </c>
      <c r="R104" s="216">
        <v>2022</v>
      </c>
      <c r="S104" s="194"/>
      <c r="T104" s="194">
        <v>1</v>
      </c>
      <c r="U104" s="194">
        <v>1</v>
      </c>
      <c r="V104" s="194">
        <v>2</v>
      </c>
      <c r="W104" s="194">
        <v>2</v>
      </c>
      <c r="X104" s="194">
        <v>3</v>
      </c>
      <c r="Y104" s="194">
        <v>3</v>
      </c>
      <c r="Z104" s="194">
        <v>4</v>
      </c>
      <c r="AA104" s="194">
        <v>4</v>
      </c>
      <c r="AB104" s="194">
        <v>4</v>
      </c>
      <c r="AC104" s="328"/>
      <c r="AD104" s="328">
        <v>120</v>
      </c>
      <c r="AE104" s="328"/>
      <c r="AF104" s="328">
        <v>136.0047792</v>
      </c>
      <c r="AG104" s="328"/>
      <c r="AH104" s="328">
        <v>154.144166377006</v>
      </c>
      <c r="AI104" s="328"/>
      <c r="AJ104" s="328">
        <v>174.70286094227299</v>
      </c>
      <c r="AK104" s="328"/>
      <c r="AL104" s="387">
        <f t="shared" si="46"/>
        <v>584.85180651927908</v>
      </c>
      <c r="AM104" s="190"/>
      <c r="AN104" s="277"/>
      <c r="AO104" s="190"/>
      <c r="AP104" s="194"/>
      <c r="AQ104" s="190">
        <v>120</v>
      </c>
      <c r="AR104" s="194" t="s">
        <v>126</v>
      </c>
      <c r="AS104" s="190"/>
      <c r="AT104" s="194"/>
      <c r="AU104" s="190"/>
      <c r="AV104" s="194" t="s">
        <v>126</v>
      </c>
      <c r="AW104" s="190"/>
      <c r="AX104" s="194"/>
      <c r="AY104" s="190">
        <v>136.0047792</v>
      </c>
      <c r="AZ104" s="194" t="s">
        <v>126</v>
      </c>
      <c r="BA104" s="190"/>
      <c r="BB104" s="194"/>
      <c r="BC104" s="190"/>
      <c r="BD104" s="194" t="s">
        <v>126</v>
      </c>
      <c r="BE104" s="190"/>
      <c r="BF104" s="194"/>
      <c r="BG104" s="190">
        <v>154.144166377006</v>
      </c>
      <c r="BH104" s="194" t="s">
        <v>126</v>
      </c>
      <c r="BI104" s="190"/>
      <c r="BJ104" s="194"/>
      <c r="BK104" s="190"/>
      <c r="BL104" s="194" t="s">
        <v>126</v>
      </c>
      <c r="BM104" s="190"/>
      <c r="BN104" s="194"/>
      <c r="BO104" s="190">
        <v>174.70286094227299</v>
      </c>
      <c r="BP104" s="194" t="s">
        <v>126</v>
      </c>
      <c r="BQ104" s="190"/>
      <c r="BR104" s="194"/>
      <c r="BS104" s="190"/>
      <c r="BT104" s="194" t="s">
        <v>126</v>
      </c>
      <c r="BU104" s="190"/>
      <c r="BV104" s="194"/>
      <c r="BW104" s="97">
        <f t="shared" si="47"/>
        <v>584.85180651927908</v>
      </c>
      <c r="BX104" s="384" t="s">
        <v>411</v>
      </c>
      <c r="BY104" s="53"/>
      <c r="BZ104" s="45" t="str">
        <f>IF(BY104="","",IF(IF(OR(P104=Desplegables!$B$5,P104=Desplegables!$B$6,),(Q104-BY104)/(Q104-S104),BY104/S104)&lt;0,0%,IF(IF(OR(P104=Desplegables!$B$5,P104=Desplegables!$B$6,),(Q104-BY104)/(Q104-S104),BY104/S104)&gt;1,100%,IF(OR(P104=Desplegables!$B$5,P104=Desplegables!$B$6,),(Q104-BY104)/(Q104-S104),BY104/S104))))</f>
        <v/>
      </c>
      <c r="CA104" s="45" t="str">
        <f>IF(BY104="","",IF(IF(OR(P104=Desplegables!$B$5,P104=Desplegables!$B$6,),(Q104-BY104)/(Q104-AB104),BY104/AB104)&lt;0,0%,IF(IF(OR(P104=Desplegables!$B$5,P104=Desplegables!$B$6,),(Q104-BY104)/(Q104-AB104),BY104/AB104)&gt;1,100%,IF(OR(P104=Desplegables!$B$5,P104=Desplegables!$B$6,),(Q104-BY104)/(Q104-AB104),BY104/AB104))))</f>
        <v/>
      </c>
      <c r="CB104" s="97"/>
      <c r="CC104" s="45" t="str">
        <f t="shared" ref="CC104" si="71">IF(CB104="","",IF(CB104/SUM(AM104,AO104)&gt;1,100%,CB104/SUM(AM104,AO104)))</f>
        <v/>
      </c>
      <c r="CD104" s="546"/>
      <c r="CE104" s="546"/>
      <c r="CF104" s="53"/>
      <c r="CG104" s="45" t="str">
        <f>IF(CF104="","",IF(IF(OR(P104=Desplegables!$B$5,P104=Desplegables!$B$6,),(Q104-CF104)/(Q104-S104),CF104/S104)&lt;0,0%,IF(IF(OR(P104=Desplegables!$B$5,P104=Desplegables!$B$6,),(Q104-CF104)/(Q104-S104),CF104/S104)&gt;1,100%,IF(OR(P104=Desplegables!$B$5,P104=Desplegables!$B$6,),(Q104-CF104)/(Q104-S104),CF104/S104))))</f>
        <v/>
      </c>
      <c r="CH104" s="45" t="str">
        <f>IF(CF104="","",IF(IF(OR(P104=Desplegables!$B$5,P104=Desplegables!$B$6,),(Q104-CF104)/(Q104-AB104),CF104/AB104)&lt;0,0%,IF(IF(OR(P104=Desplegables!$B$5,P104=Desplegables!$B$6,),(Q104-CF104)/(Q104-AB104),CF104/AB104)&gt;1,100%,IF(OR(P104=Desplegables!$B$5,P104=Desplegables!$B$6,),(Q104-CF104)/(Q104-AB104),CF104/AB104))))</f>
        <v/>
      </c>
      <c r="CI104" s="97"/>
      <c r="CJ104" s="45" t="str">
        <f t="shared" ref="CJ104" si="72">IF(SUM(CB104,CI104)=0,"",IF(SUM(CB104,CI104)/SUM(AM104,AO104)&gt;1,100%,SUM(CB104,CI104)/SUM(AM104,AO104)))</f>
        <v/>
      </c>
      <c r="CK104" s="546"/>
      <c r="CL104" s="546"/>
      <c r="CM104" s="53"/>
      <c r="CN104" s="45" t="str">
        <f>IF(CM104="","",IF(IF(OR(P104=Desplegables!$B$5,P104=Desplegables!$B$6,),(Q104-CM104)/(Q104-T104),CM104/T104)&lt;0,0%,IF(IF(OR(P104=Desplegables!$B$5,P104=Desplegables!$B$6,),(Q104-CM104)/(Q104-T104),CM104/T104)&gt;1,100%,IF(OR(P104=Desplegables!$B$5,P104=Desplegables!$B$6,),(Q104-CM104)/(Q104-T104),CM104/T104))))</f>
        <v/>
      </c>
      <c r="CO104" s="45" t="str">
        <f>IF(CM104="","",IF(IF(OR(P104=Desplegables!$B$5,P104=Desplegables!$B$6,),(Q104-CM104)/(Q104-AB104),IF(P104=Desplegables!$B$3,AVERAGE(CM104,CF104)/AB104,CM104/AB104))&lt;0,0%,IF(IF(OR(P104=Desplegables!$B$5,P104=Desplegables!$B$6,),(Q104-CM104)/(Q104-AB104),IF(P104=Desplegables!$B$3,AVERAGE(CM104,CF104)/AB104,CM104/AB104))&gt;1,100%,IF(OR(P104=Desplegables!$B$5,P104=Desplegables!$B$6,),(Q104-CM104)/(Q104-AB104),IF(P104=Desplegables!$B$3,AVERAGE(CM104,CF104)/AB104,CM104/AB104)))))</f>
        <v/>
      </c>
      <c r="CP104" s="97"/>
      <c r="CQ104" s="45" t="str">
        <f t="shared" ref="CQ104" si="73">IF(CP104="","",IF(CP104/SUM(AQ104,AS104)&gt;1,100%,CP104/SUM(AQ104,AS104)))</f>
        <v/>
      </c>
      <c r="CR104" s="546"/>
      <c r="CS104" s="546"/>
      <c r="CT104" s="53"/>
      <c r="CU104" s="45" t="str">
        <f>IF(CT104="","",IF(IF(OR(P104=Desplegables!$B$5,P104=Desplegables!$B$6,),(Q104-CT104)/(Q104-T104),CT104/T104)&lt;0,0%,IF(IF(OR(P104=Desplegables!$B$5,P104=Desplegables!$B$6,),(Q104-CT104)/(Q104-T104),CT104/T104)&gt;1,100%,IF(OR(P104=Desplegables!$B$5,P104=Desplegables!$B$6,),(Q104-CT104)/(Q104-T104),CT104/T104))))</f>
        <v/>
      </c>
      <c r="CV104" s="45" t="str">
        <f>IF(CT104="","",IF(IF(OR(P104=Desplegables!$B$5,P104=Desplegables!$B$6,),(Q104-CT104)/(Q104-AB104),IF(P104=Desplegables!$B$3,AVERAGE(CT104,CF104)/AB104,CT104/AB104))&lt;0,0%,IF(IF(OR(P104=Desplegables!$B$5,P104=Desplegables!$B$6,),(Q104-CT104)/(Q104-AB104),IF(P104=Desplegables!$B$3,AVERAGE(CT104,CF104)/AB104,CT104/AB104))&gt;1,100%,IF(OR(P104=Desplegables!$B$5,P104=Desplegables!$B$6,),(Q104-CT104)/(Q104-AB104),IF(P104=Desplegables!$B$3,AVERAGE(CT104,CF104)/AB104,CT104/AB104)))))</f>
        <v/>
      </c>
      <c r="CW104" s="97"/>
      <c r="CX104" s="45" t="str">
        <f t="shared" ref="CX104" si="74">IF(SUM(CP104,CW104)=0,"",IF(SUM(CP104,CW104)/SUM(AQ104,AS104)&gt;1,100%,SUM(CP104,CW104)/SUM(AQ104,AS104)))</f>
        <v/>
      </c>
      <c r="CY104" s="546"/>
      <c r="CZ104" s="546"/>
      <c r="DA104" s="53"/>
      <c r="DB104" s="45" t="str">
        <f>IF(DA104="","",IF(IF(OR(P104=Desplegables!$B$5,P104=Desplegables!$B$6,),(Q104-DA104)/(Q104-AB104),IF(P104=Desplegables!$B$3,DA104/U104,DA104/AB104))&lt;0,0%,IF(IF(OR(P104=Desplegables!$B$5,P104=Desplegables!$B$6,),(Q104-DA104)/(Q104-AB104),IF(P104=Desplegables!$B$3,DA104/U104,DA104/AB104))&gt;1,100%,IF(OR(P104=Desplegables!$B$5,P104=Desplegables!$B$6,),(Q104-DA104)/(Q104-AB104),IF(P104=Desplegables!$B$3,DA104/U104,DA104/AB104)))))</f>
        <v/>
      </c>
      <c r="DC104" s="45" t="str">
        <f>IF(DA104="","",IF(IF(OR(P104=Desplegables!$B$5,P104=Desplegables!$B$6,),(Q104-DA104)/(Q104-AB104),IF(P104=Desplegables!$B$3,AVERAGE(DA104,CT104,CF104)/AB104,DA104/AB104))&lt;0,0%,IF(IF(OR(P104=Desplegables!$B$5,P104=Desplegables!$B$6,),(Q104-DA104)/(Q104-AB104),IF(P104=Desplegables!$B$3,AVERAGE(DA104,CT104,CF104)/AB104,DA104/AB104))&gt;1,100%,IF(OR(P104=Desplegables!$B$5,P104=Desplegables!$B$6,),(Q104-DA104)/(Q104-AB104),IF(P104=Desplegables!$B$3,AVERAGE(DA104,CT104,CF104)/AB104,DA104/AB104)))))</f>
        <v/>
      </c>
      <c r="DD104" s="97"/>
      <c r="DE104" s="45" t="str">
        <f t="shared" ref="DE104" si="75">IF(DD104="","",IF(DD104/SUM(BS104,BU104)&gt;1,100%,DD104/SUM(BS104,BU104)))</f>
        <v/>
      </c>
      <c r="DF104" s="546"/>
      <c r="DG104" s="546"/>
      <c r="DH104" s="53"/>
      <c r="DI104" s="45" t="str">
        <f>IF(DH104="","",IF(IF(OR(P104=Desplegables!$B$5,P104=Desplegables!$B$6,),(Q104-DH104)/(Q104-AB104),IF(P104=Desplegables!$B$3,DH104/U104,DH104/AB104))&lt;0,0%,IF(IF(OR(P104=Desplegables!$B$5,P104=Desplegables!$B$6,),(Q104-DH104)/(Q104-AB104),IF(P104=Desplegables!$B$3,DH104/U104,DH104/AB104))&gt;1,100%,IF(OR(P104=Desplegables!$B$5,P104=Desplegables!$B$6,),(Q104-DH104)/(Q104-AB104),IF(P104=Desplegables!$B$3,DH104/U104,DH104/AB104)))))</f>
        <v/>
      </c>
      <c r="DJ104" s="45" t="str">
        <f>IF(DH104="","",IF(IF(OR(P104=Desplegables!$B$5,P104=Desplegables!$B$6,),(Q104-DH104)/(Q104-AB104),IF(P104=Desplegables!$B$3,AVERAGE(DH104,CT104,CF104)/AB104,DH104/AB104))&lt;0,0%,IF(IF(OR(P104=Desplegables!$B$5,P104=Desplegables!$B$6,),(Q104-DH104)/(Q104-AB104),IF(P104=Desplegables!$B$3,AVERAGE(DH104,CT104,CF104)/AB104,DH104/AB104))&gt;1,100%,IF(OR(P104=Desplegables!$B$5,P104=Desplegables!$B$6,),(Q104-DH104)/(Q104-AB104),IF(P104=Desplegables!$B$3,AVERAGE(DH104,CT104,CF104)/AB104,DH104/AB104)))))</f>
        <v/>
      </c>
      <c r="DK104" s="97"/>
      <c r="DL104" s="45" t="str">
        <f t="shared" ref="DL104" si="76">IF(SUM(DD104,DK104)=0,"",IF(SUM(DD104,DK104)/SUM(BS104,BU104)&gt;1,100%,SUM(DD104,DK104)/SUM(BS104,BU104)))</f>
        <v/>
      </c>
      <c r="DM104" s="546"/>
      <c r="DN104" s="546"/>
    </row>
    <row r="105" spans="1:118" s="376" customFormat="1" ht="89.25">
      <c r="B105" s="533"/>
      <c r="C105" s="527"/>
      <c r="D105" s="306" t="s">
        <v>412</v>
      </c>
      <c r="E105" s="432">
        <v>1.0999999999999999E-2</v>
      </c>
      <c r="F105" s="438" t="s">
        <v>90</v>
      </c>
      <c r="G105" s="438" t="s">
        <v>1239</v>
      </c>
      <c r="H105" s="438" t="s">
        <v>413</v>
      </c>
      <c r="I105" s="438" t="s">
        <v>414</v>
      </c>
      <c r="J105" s="385" t="s">
        <v>415</v>
      </c>
      <c r="K105" s="364">
        <v>44958</v>
      </c>
      <c r="L105" s="156">
        <v>47848</v>
      </c>
      <c r="M105" s="315" t="s">
        <v>78</v>
      </c>
      <c r="N105" s="316" t="s">
        <v>416</v>
      </c>
      <c r="O105" s="316" t="s">
        <v>417</v>
      </c>
      <c r="P105" s="315" t="s">
        <v>87</v>
      </c>
      <c r="Q105" s="359">
        <v>0</v>
      </c>
      <c r="R105" s="216">
        <v>2022</v>
      </c>
      <c r="S105" s="194"/>
      <c r="T105" s="203">
        <v>0.3</v>
      </c>
      <c r="U105" s="203">
        <v>0.5</v>
      </c>
      <c r="V105" s="203">
        <v>0.55000000000000004</v>
      </c>
      <c r="W105" s="203">
        <v>0.6</v>
      </c>
      <c r="X105" s="203">
        <v>0.7</v>
      </c>
      <c r="Y105" s="203">
        <v>0.8</v>
      </c>
      <c r="Z105" s="203">
        <v>0.9</v>
      </c>
      <c r="AA105" s="203">
        <v>1</v>
      </c>
      <c r="AB105" s="325">
        <v>1</v>
      </c>
      <c r="AC105" s="328"/>
      <c r="AD105" s="328">
        <v>50</v>
      </c>
      <c r="AE105" s="328">
        <v>53.23</v>
      </c>
      <c r="AF105" s="328">
        <v>56.668658000000001</v>
      </c>
      <c r="AG105" s="328">
        <v>60.329453306799998</v>
      </c>
      <c r="AH105" s="328">
        <v>64.2267359904193</v>
      </c>
      <c r="AI105" s="328">
        <v>68.375783135400397</v>
      </c>
      <c r="AJ105" s="328">
        <v>72.792858725947198</v>
      </c>
      <c r="AK105" s="328">
        <v>77.495277399643399</v>
      </c>
      <c r="AL105" s="387">
        <f t="shared" si="46"/>
        <v>503.11876655821027</v>
      </c>
      <c r="AM105" s="190"/>
      <c r="AN105" s="194"/>
      <c r="AO105" s="190"/>
      <c r="AP105" s="194"/>
      <c r="AQ105" s="214">
        <v>50</v>
      </c>
      <c r="AR105" s="23" t="s">
        <v>88</v>
      </c>
      <c r="AS105" s="190"/>
      <c r="AT105" s="23"/>
      <c r="AU105" s="214">
        <v>53.23</v>
      </c>
      <c r="AV105" s="23" t="s">
        <v>88</v>
      </c>
      <c r="AW105" s="190"/>
      <c r="AX105" s="23"/>
      <c r="AY105" s="214">
        <v>56.668658000000001</v>
      </c>
      <c r="AZ105" s="23" t="s">
        <v>88</v>
      </c>
      <c r="BA105" s="190"/>
      <c r="BB105" s="23"/>
      <c r="BC105" s="214">
        <v>60.329453306799998</v>
      </c>
      <c r="BD105" s="23" t="s">
        <v>88</v>
      </c>
      <c r="BE105" s="190"/>
      <c r="BF105" s="23"/>
      <c r="BG105" s="214">
        <v>64.2267359904193</v>
      </c>
      <c r="BH105" s="23" t="s">
        <v>88</v>
      </c>
      <c r="BI105" s="190"/>
      <c r="BJ105" s="23"/>
      <c r="BK105" s="214">
        <v>68.375783135400397</v>
      </c>
      <c r="BL105" s="23" t="s">
        <v>88</v>
      </c>
      <c r="BM105" s="190"/>
      <c r="BN105" s="23"/>
      <c r="BO105" s="214">
        <v>72.792858725947198</v>
      </c>
      <c r="BP105" s="23" t="s">
        <v>88</v>
      </c>
      <c r="BQ105" s="190"/>
      <c r="BR105" s="23"/>
      <c r="BS105" s="214">
        <v>77.495277399643399</v>
      </c>
      <c r="BT105" s="23" t="s">
        <v>88</v>
      </c>
      <c r="BU105" s="190"/>
      <c r="BV105" s="23"/>
      <c r="BW105" s="97">
        <f t="shared" si="47"/>
        <v>503.11876655821027</v>
      </c>
      <c r="BX105" s="384"/>
      <c r="BY105" s="53"/>
      <c r="BZ105" s="325"/>
      <c r="CA105" s="325"/>
      <c r="CB105" s="97"/>
      <c r="CC105" s="325"/>
      <c r="CD105" s="546"/>
      <c r="CE105" s="546"/>
      <c r="CF105" s="53"/>
      <c r="CG105" s="325"/>
      <c r="CH105" s="325"/>
      <c r="CI105" s="97"/>
      <c r="CJ105" s="325"/>
      <c r="CK105" s="546"/>
      <c r="CL105" s="546"/>
      <c r="CM105" s="53"/>
      <c r="CN105" s="325"/>
      <c r="CO105" s="325"/>
      <c r="CP105" s="97"/>
      <c r="CQ105" s="325"/>
      <c r="CR105" s="546"/>
      <c r="CS105" s="546"/>
      <c r="CT105" s="53"/>
      <c r="CU105" s="325"/>
      <c r="CV105" s="325"/>
      <c r="CW105" s="97"/>
      <c r="CX105" s="325"/>
      <c r="CY105" s="546"/>
      <c r="CZ105" s="546"/>
      <c r="DA105" s="53"/>
      <c r="DB105" s="325"/>
      <c r="DC105" s="325"/>
      <c r="DD105" s="97"/>
      <c r="DE105" s="325"/>
      <c r="DF105" s="546"/>
      <c r="DG105" s="546"/>
      <c r="DH105" s="53"/>
      <c r="DI105" s="325"/>
      <c r="DJ105" s="325"/>
      <c r="DK105" s="97"/>
      <c r="DL105" s="325"/>
      <c r="DM105" s="546"/>
      <c r="DN105" s="546"/>
    </row>
    <row r="106" spans="1:118" s="376" customFormat="1" ht="102">
      <c r="B106" s="533"/>
      <c r="C106" s="527"/>
      <c r="D106" s="306" t="s">
        <v>418</v>
      </c>
      <c r="E106" s="432">
        <v>7.0000000000000001E-3</v>
      </c>
      <c r="F106" s="438" t="s">
        <v>90</v>
      </c>
      <c r="G106" s="438" t="s">
        <v>419</v>
      </c>
      <c r="H106" s="438" t="s">
        <v>1025</v>
      </c>
      <c r="I106" s="438" t="s">
        <v>420</v>
      </c>
      <c r="J106" s="385" t="s">
        <v>421</v>
      </c>
      <c r="K106" s="364">
        <v>44928</v>
      </c>
      <c r="L106" s="156">
        <v>47848</v>
      </c>
      <c r="M106" s="315" t="s">
        <v>78</v>
      </c>
      <c r="N106" s="315" t="s">
        <v>422</v>
      </c>
      <c r="O106" s="371" t="s">
        <v>423</v>
      </c>
      <c r="P106" s="315" t="s">
        <v>125</v>
      </c>
      <c r="Q106" s="194">
        <v>0</v>
      </c>
      <c r="R106" s="216">
        <v>2022</v>
      </c>
      <c r="S106" s="194"/>
      <c r="T106" s="367">
        <v>1</v>
      </c>
      <c r="U106" s="367">
        <v>1</v>
      </c>
      <c r="V106" s="203">
        <v>1</v>
      </c>
      <c r="W106" s="203">
        <v>1</v>
      </c>
      <c r="X106" s="203">
        <v>1</v>
      </c>
      <c r="Y106" s="203">
        <v>1</v>
      </c>
      <c r="Z106" s="203">
        <v>1</v>
      </c>
      <c r="AA106" s="203">
        <v>1</v>
      </c>
      <c r="AB106" s="203">
        <v>1</v>
      </c>
      <c r="AC106" s="328"/>
      <c r="AD106" s="328">
        <v>12.395201</v>
      </c>
      <c r="AE106" s="328">
        <v>13.014960348000001</v>
      </c>
      <c r="AF106" s="328">
        <v>13.665707855400001</v>
      </c>
      <c r="AG106" s="328">
        <v>14.34899326317</v>
      </c>
      <c r="AH106" s="328">
        <v>15.0664431513285</v>
      </c>
      <c r="AI106" s="328">
        <v>15.819765413894901</v>
      </c>
      <c r="AJ106" s="328">
        <v>16.610753534589701</v>
      </c>
      <c r="AK106" s="328">
        <v>17.441291428819198</v>
      </c>
      <c r="AL106" s="387">
        <f t="shared" si="46"/>
        <v>118.36311599520231</v>
      </c>
      <c r="AM106" s="190"/>
      <c r="AN106" s="194"/>
      <c r="AO106" s="190"/>
      <c r="AP106" s="194"/>
      <c r="AQ106" s="190">
        <v>12.395201</v>
      </c>
      <c r="AR106" s="373" t="s">
        <v>80</v>
      </c>
      <c r="AS106" s="190"/>
      <c r="AT106" s="194"/>
      <c r="AU106" s="190">
        <v>13.014960348000001</v>
      </c>
      <c r="AV106" s="194" t="s">
        <v>80</v>
      </c>
      <c r="AW106" s="321"/>
      <c r="AX106" s="194"/>
      <c r="AY106" s="190">
        <v>13.665707855400001</v>
      </c>
      <c r="AZ106" s="194" t="s">
        <v>80</v>
      </c>
      <c r="BA106" s="321"/>
      <c r="BB106" s="194"/>
      <c r="BC106" s="190">
        <v>14.34899326317</v>
      </c>
      <c r="BD106" s="194" t="s">
        <v>80</v>
      </c>
      <c r="BE106" s="321"/>
      <c r="BF106" s="194"/>
      <c r="BG106" s="190">
        <v>15.0664431513285</v>
      </c>
      <c r="BH106" s="194" t="s">
        <v>80</v>
      </c>
      <c r="BI106" s="321"/>
      <c r="BJ106" s="194"/>
      <c r="BK106" s="190">
        <v>15.819765413894901</v>
      </c>
      <c r="BL106" s="194" t="s">
        <v>80</v>
      </c>
      <c r="BM106" s="321"/>
      <c r="BN106" s="194"/>
      <c r="BO106" s="190">
        <v>16.610753534589701</v>
      </c>
      <c r="BP106" s="194" t="s">
        <v>80</v>
      </c>
      <c r="BQ106" s="321"/>
      <c r="BR106" s="194"/>
      <c r="BS106" s="190">
        <v>17.441291428819198</v>
      </c>
      <c r="BT106" s="194" t="s">
        <v>80</v>
      </c>
      <c r="BU106" s="190"/>
      <c r="BV106" s="194"/>
      <c r="BW106" s="97">
        <f t="shared" si="47"/>
        <v>118.36311599520231</v>
      </c>
      <c r="BX106" s="384"/>
      <c r="BY106" s="53"/>
      <c r="BZ106" s="325"/>
      <c r="CA106" s="325"/>
      <c r="CB106" s="97"/>
      <c r="CC106" s="325"/>
      <c r="CD106" s="546"/>
      <c r="CE106" s="546"/>
      <c r="CF106" s="53"/>
      <c r="CG106" s="325"/>
      <c r="CH106" s="325"/>
      <c r="CI106" s="97"/>
      <c r="CJ106" s="325"/>
      <c r="CK106" s="546"/>
      <c r="CL106" s="546"/>
      <c r="CM106" s="53"/>
      <c r="CN106" s="325"/>
      <c r="CO106" s="325"/>
      <c r="CP106" s="97"/>
      <c r="CQ106" s="325"/>
      <c r="CR106" s="546"/>
      <c r="CS106" s="546"/>
      <c r="CT106" s="53"/>
      <c r="CU106" s="325"/>
      <c r="CV106" s="325"/>
      <c r="CW106" s="97"/>
      <c r="CX106" s="325"/>
      <c r="CY106" s="546"/>
      <c r="CZ106" s="546"/>
      <c r="DA106" s="53"/>
      <c r="DB106" s="325"/>
      <c r="DC106" s="325"/>
      <c r="DD106" s="97"/>
      <c r="DE106" s="325"/>
      <c r="DF106" s="546"/>
      <c r="DG106" s="546"/>
      <c r="DH106" s="53"/>
      <c r="DI106" s="325"/>
      <c r="DJ106" s="325"/>
      <c r="DK106" s="97"/>
      <c r="DL106" s="325"/>
      <c r="DM106" s="546"/>
      <c r="DN106" s="546"/>
    </row>
    <row r="107" spans="1:118" s="376" customFormat="1" ht="51">
      <c r="B107" s="533"/>
      <c r="C107" s="527"/>
      <c r="D107" s="306" t="s">
        <v>424</v>
      </c>
      <c r="E107" s="432">
        <v>0.01</v>
      </c>
      <c r="F107" s="438" t="s">
        <v>90</v>
      </c>
      <c r="G107" s="438" t="s">
        <v>1239</v>
      </c>
      <c r="H107" s="438" t="s">
        <v>413</v>
      </c>
      <c r="I107" s="438" t="s">
        <v>414</v>
      </c>
      <c r="J107" s="385" t="s">
        <v>1026</v>
      </c>
      <c r="K107" s="364">
        <v>44743</v>
      </c>
      <c r="L107" s="156">
        <v>47848</v>
      </c>
      <c r="M107" s="315" t="s">
        <v>97</v>
      </c>
      <c r="N107" s="315" t="s">
        <v>425</v>
      </c>
      <c r="O107" s="315" t="s">
        <v>426</v>
      </c>
      <c r="P107" s="315" t="s">
        <v>87</v>
      </c>
      <c r="Q107" s="194">
        <v>0</v>
      </c>
      <c r="R107" s="216">
        <v>2022</v>
      </c>
      <c r="S107" s="194">
        <v>4</v>
      </c>
      <c r="T107" s="209">
        <v>8</v>
      </c>
      <c r="U107" s="209">
        <v>12</v>
      </c>
      <c r="V107" s="209">
        <v>16</v>
      </c>
      <c r="W107" s="209">
        <v>20</v>
      </c>
      <c r="X107" s="209">
        <v>24</v>
      </c>
      <c r="Y107" s="209">
        <v>28</v>
      </c>
      <c r="Z107" s="209">
        <v>32</v>
      </c>
      <c r="AA107" s="209">
        <v>36</v>
      </c>
      <c r="AB107" s="194">
        <v>36</v>
      </c>
      <c r="AC107" s="328"/>
      <c r="AD107" s="328">
        <v>100</v>
      </c>
      <c r="AE107" s="328">
        <v>106.46</v>
      </c>
      <c r="AF107" s="328">
        <v>113.337316</v>
      </c>
      <c r="AG107" s="328">
        <v>120.6589066136</v>
      </c>
      <c r="AH107" s="328">
        <v>128.453471980839</v>
      </c>
      <c r="AI107" s="328">
        <v>136.75156627080099</v>
      </c>
      <c r="AJ107" s="328">
        <v>145.585717451894</v>
      </c>
      <c r="AK107" s="328">
        <v>154.990554799287</v>
      </c>
      <c r="AL107" s="387">
        <f t="shared" si="46"/>
        <v>1006.2375331164209</v>
      </c>
      <c r="AM107" s="190"/>
      <c r="AN107" s="23"/>
      <c r="AO107" s="23" t="s">
        <v>88</v>
      </c>
      <c r="AP107" s="23"/>
      <c r="AQ107" s="190">
        <v>100</v>
      </c>
      <c r="AR107" s="23" t="s">
        <v>88</v>
      </c>
      <c r="AS107" s="190"/>
      <c r="AT107" s="23"/>
      <c r="AU107" s="190">
        <v>106.46</v>
      </c>
      <c r="AV107" s="23" t="s">
        <v>88</v>
      </c>
      <c r="AW107" s="190"/>
      <c r="AX107" s="23"/>
      <c r="AY107" s="190">
        <v>113.337316</v>
      </c>
      <c r="AZ107" s="23" t="s">
        <v>88</v>
      </c>
      <c r="BA107" s="190"/>
      <c r="BB107" s="23"/>
      <c r="BC107" s="190">
        <v>120.6589066136</v>
      </c>
      <c r="BD107" s="23" t="s">
        <v>88</v>
      </c>
      <c r="BE107" s="190"/>
      <c r="BF107" s="23"/>
      <c r="BG107" s="190">
        <v>128.453471980839</v>
      </c>
      <c r="BH107" s="23" t="s">
        <v>88</v>
      </c>
      <c r="BI107" s="190"/>
      <c r="BJ107" s="23"/>
      <c r="BK107" s="190">
        <v>136.75156627080099</v>
      </c>
      <c r="BL107" s="23" t="s">
        <v>88</v>
      </c>
      <c r="BM107" s="190"/>
      <c r="BN107" s="23"/>
      <c r="BO107" s="190">
        <v>145.585717451894</v>
      </c>
      <c r="BP107" s="23" t="s">
        <v>88</v>
      </c>
      <c r="BQ107" s="190"/>
      <c r="BR107" s="23"/>
      <c r="BS107" s="190">
        <f>+AK107</f>
        <v>154.990554799287</v>
      </c>
      <c r="BT107" s="23" t="s">
        <v>88</v>
      </c>
      <c r="BU107" s="190"/>
      <c r="BV107" s="23"/>
      <c r="BW107" s="97">
        <f t="shared" si="47"/>
        <v>1006.2375331164209</v>
      </c>
      <c r="BX107" s="384"/>
      <c r="BY107" s="53"/>
      <c r="BZ107" s="325"/>
      <c r="CA107" s="325"/>
      <c r="CB107" s="97"/>
      <c r="CC107" s="325"/>
      <c r="CD107" s="546"/>
      <c r="CE107" s="546"/>
      <c r="CF107" s="53"/>
      <c r="CG107" s="325"/>
      <c r="CH107" s="325"/>
      <c r="CI107" s="97"/>
      <c r="CJ107" s="325"/>
      <c r="CK107" s="546"/>
      <c r="CL107" s="546"/>
      <c r="CM107" s="53"/>
      <c r="CN107" s="325"/>
      <c r="CO107" s="325"/>
      <c r="CP107" s="97"/>
      <c r="CQ107" s="325"/>
      <c r="CR107" s="546"/>
      <c r="CS107" s="546"/>
      <c r="CT107" s="53"/>
      <c r="CU107" s="325"/>
      <c r="CV107" s="325"/>
      <c r="CW107" s="97"/>
      <c r="CX107" s="325"/>
      <c r="CY107" s="546"/>
      <c r="CZ107" s="546"/>
      <c r="DA107" s="53"/>
      <c r="DB107" s="325"/>
      <c r="DC107" s="325"/>
      <c r="DD107" s="97"/>
      <c r="DE107" s="325"/>
      <c r="DF107" s="546"/>
      <c r="DG107" s="546"/>
      <c r="DH107" s="53"/>
      <c r="DI107" s="325"/>
      <c r="DJ107" s="325"/>
      <c r="DK107" s="97"/>
      <c r="DL107" s="325"/>
      <c r="DM107" s="546"/>
      <c r="DN107" s="546"/>
    </row>
    <row r="108" spans="1:118" s="376" customFormat="1" ht="63.75">
      <c r="B108" s="533"/>
      <c r="C108" s="527"/>
      <c r="D108" s="306" t="s">
        <v>1027</v>
      </c>
      <c r="E108" s="431">
        <v>0.01</v>
      </c>
      <c r="F108" s="438" t="s">
        <v>90</v>
      </c>
      <c r="G108" s="438" t="s">
        <v>427</v>
      </c>
      <c r="H108" s="438" t="s">
        <v>428</v>
      </c>
      <c r="I108" s="438" t="s">
        <v>429</v>
      </c>
      <c r="J108" s="385" t="s">
        <v>430</v>
      </c>
      <c r="K108" s="364">
        <v>44927</v>
      </c>
      <c r="L108" s="156">
        <v>47848</v>
      </c>
      <c r="M108" s="315" t="s">
        <v>78</v>
      </c>
      <c r="N108" s="315" t="s">
        <v>1028</v>
      </c>
      <c r="O108" s="315" t="s">
        <v>1029</v>
      </c>
      <c r="P108" s="315" t="s">
        <v>87</v>
      </c>
      <c r="Q108" s="194">
        <v>0</v>
      </c>
      <c r="R108" s="216">
        <v>2022</v>
      </c>
      <c r="S108" s="194"/>
      <c r="T108" s="194">
        <v>1</v>
      </c>
      <c r="U108" s="194">
        <v>1</v>
      </c>
      <c r="V108" s="194">
        <v>2</v>
      </c>
      <c r="W108" s="194">
        <v>2</v>
      </c>
      <c r="X108" s="194">
        <v>3</v>
      </c>
      <c r="Y108" s="194">
        <v>3</v>
      </c>
      <c r="Z108" s="194">
        <v>4</v>
      </c>
      <c r="AA108" s="194">
        <v>4</v>
      </c>
      <c r="AB108" s="194">
        <v>4</v>
      </c>
      <c r="AC108" s="328"/>
      <c r="AD108" s="328">
        <v>84.5</v>
      </c>
      <c r="AE108" s="328"/>
      <c r="AF108" s="328">
        <v>87.88</v>
      </c>
      <c r="AG108" s="328"/>
      <c r="AH108" s="328">
        <v>91.395200000000003</v>
      </c>
      <c r="AI108" s="328"/>
      <c r="AJ108" s="328">
        <v>95.051007999999996</v>
      </c>
      <c r="AK108" s="328"/>
      <c r="AL108" s="387">
        <f t="shared" si="46"/>
        <v>358.82620799999995</v>
      </c>
      <c r="AM108" s="190"/>
      <c r="AN108" s="194"/>
      <c r="AO108" s="190"/>
      <c r="AP108" s="194"/>
      <c r="AQ108" s="190">
        <v>61.5</v>
      </c>
      <c r="AR108" s="194" t="s">
        <v>80</v>
      </c>
      <c r="AS108" s="190">
        <v>23</v>
      </c>
      <c r="AT108" s="194" t="s">
        <v>1240</v>
      </c>
      <c r="AU108" s="321"/>
      <c r="AV108" s="23" t="s">
        <v>88</v>
      </c>
      <c r="AW108" s="321"/>
      <c r="AX108" s="194"/>
      <c r="AY108" s="190">
        <v>63.96</v>
      </c>
      <c r="AZ108" s="194" t="s">
        <v>80</v>
      </c>
      <c r="BA108" s="190">
        <v>23.92</v>
      </c>
      <c r="BB108" s="194" t="s">
        <v>1240</v>
      </c>
      <c r="BC108" s="321"/>
      <c r="BD108" s="23" t="s">
        <v>88</v>
      </c>
      <c r="BE108" s="321"/>
      <c r="BF108" s="194"/>
      <c r="BG108" s="190">
        <v>66.5184</v>
      </c>
      <c r="BH108" s="194" t="s">
        <v>80</v>
      </c>
      <c r="BI108" s="190">
        <v>24.876800000000003</v>
      </c>
      <c r="BJ108" s="194" t="s">
        <v>1240</v>
      </c>
      <c r="BK108" s="321"/>
      <c r="BL108" s="23" t="s">
        <v>88</v>
      </c>
      <c r="BM108" s="321"/>
      <c r="BN108" s="194"/>
      <c r="BO108" s="190">
        <v>69.179136</v>
      </c>
      <c r="BP108" s="194" t="s">
        <v>80</v>
      </c>
      <c r="BQ108" s="190">
        <v>25.871872000000003</v>
      </c>
      <c r="BR108" s="194" t="s">
        <v>1240</v>
      </c>
      <c r="BS108" s="190"/>
      <c r="BT108" s="23" t="s">
        <v>88</v>
      </c>
      <c r="BU108" s="190"/>
      <c r="BV108" s="194"/>
      <c r="BW108" s="97">
        <f t="shared" si="47"/>
        <v>358.82620800000001</v>
      </c>
      <c r="BX108" s="384"/>
      <c r="BY108" s="53"/>
      <c r="BZ108" s="45"/>
      <c r="CA108" s="45"/>
      <c r="CB108" s="97"/>
      <c r="CC108" s="45"/>
      <c r="CD108" s="546"/>
      <c r="CE108" s="546"/>
      <c r="CF108" s="53"/>
      <c r="CG108" s="45"/>
      <c r="CH108" s="45"/>
      <c r="CI108" s="97"/>
      <c r="CJ108" s="45"/>
      <c r="CK108" s="546"/>
      <c r="CL108" s="546"/>
      <c r="CM108" s="53"/>
      <c r="CN108" s="45"/>
      <c r="CO108" s="45"/>
      <c r="CP108" s="97"/>
      <c r="CQ108" s="45"/>
      <c r="CR108" s="546"/>
      <c r="CS108" s="546"/>
      <c r="CT108" s="53"/>
      <c r="CU108" s="45"/>
      <c r="CV108" s="45"/>
      <c r="CW108" s="97"/>
      <c r="CX108" s="45"/>
      <c r="CY108" s="546"/>
      <c r="CZ108" s="546"/>
      <c r="DA108" s="53"/>
      <c r="DB108" s="45"/>
      <c r="DC108" s="45"/>
      <c r="DD108" s="97"/>
      <c r="DE108" s="45"/>
      <c r="DF108" s="546"/>
      <c r="DG108" s="546"/>
      <c r="DH108" s="53"/>
      <c r="DI108" s="45"/>
      <c r="DJ108" s="45"/>
      <c r="DK108" s="97"/>
      <c r="DL108" s="45"/>
      <c r="DM108" s="546"/>
      <c r="DN108" s="546"/>
    </row>
    <row r="109" spans="1:118" s="376" customFormat="1" ht="51">
      <c r="B109" s="533"/>
      <c r="C109" s="527"/>
      <c r="D109" s="306" t="s">
        <v>431</v>
      </c>
      <c r="E109" s="432">
        <v>7.0000000000000001E-3</v>
      </c>
      <c r="F109" s="438" t="s">
        <v>90</v>
      </c>
      <c r="G109" s="438" t="s">
        <v>1239</v>
      </c>
      <c r="H109" s="438" t="s">
        <v>413</v>
      </c>
      <c r="I109" s="438" t="s">
        <v>414</v>
      </c>
      <c r="J109" s="385" t="s">
        <v>1026</v>
      </c>
      <c r="K109" s="364">
        <v>44958</v>
      </c>
      <c r="L109" s="156">
        <v>47848</v>
      </c>
      <c r="M109" s="315" t="s">
        <v>97</v>
      </c>
      <c r="N109" s="315" t="s">
        <v>432</v>
      </c>
      <c r="O109" s="315" t="s">
        <v>433</v>
      </c>
      <c r="P109" s="315" t="s">
        <v>87</v>
      </c>
      <c r="Q109" s="194">
        <v>0</v>
      </c>
      <c r="R109" s="216">
        <v>2022</v>
      </c>
      <c r="S109" s="194"/>
      <c r="T109" s="194">
        <v>4</v>
      </c>
      <c r="U109" s="194">
        <v>6</v>
      </c>
      <c r="V109" s="194">
        <v>8</v>
      </c>
      <c r="W109" s="194">
        <v>10</v>
      </c>
      <c r="X109" s="194">
        <v>12</v>
      </c>
      <c r="Y109" s="194">
        <v>14</v>
      </c>
      <c r="Z109" s="194">
        <v>16</v>
      </c>
      <c r="AA109" s="194">
        <v>18</v>
      </c>
      <c r="AB109" s="194">
        <v>18</v>
      </c>
      <c r="AC109" s="328"/>
      <c r="AD109" s="328">
        <v>50</v>
      </c>
      <c r="AE109" s="328">
        <v>53.23</v>
      </c>
      <c r="AF109" s="328">
        <v>56.668658000000001</v>
      </c>
      <c r="AG109" s="328">
        <v>60.329453306799998</v>
      </c>
      <c r="AH109" s="328">
        <v>64.2267359904193</v>
      </c>
      <c r="AI109" s="328">
        <v>68.375783135400397</v>
      </c>
      <c r="AJ109" s="328">
        <v>72.792858725947198</v>
      </c>
      <c r="AK109" s="328">
        <v>77.495277399643399</v>
      </c>
      <c r="AL109" s="387">
        <f t="shared" si="46"/>
        <v>503.11876655821027</v>
      </c>
      <c r="AM109" s="190"/>
      <c r="AN109" s="23"/>
      <c r="AO109" s="190"/>
      <c r="AP109" s="194"/>
      <c r="AQ109" s="190">
        <v>50</v>
      </c>
      <c r="AR109" s="23" t="s">
        <v>88</v>
      </c>
      <c r="AS109" s="190"/>
      <c r="AT109" s="23"/>
      <c r="AU109" s="190">
        <v>53.23</v>
      </c>
      <c r="AV109" s="23" t="s">
        <v>88</v>
      </c>
      <c r="AW109" s="190"/>
      <c r="AX109" s="23"/>
      <c r="AY109" s="190">
        <v>56.668658000000001</v>
      </c>
      <c r="AZ109" s="23" t="s">
        <v>88</v>
      </c>
      <c r="BA109" s="190"/>
      <c r="BB109" s="23"/>
      <c r="BC109" s="190">
        <v>60.329453306799998</v>
      </c>
      <c r="BD109" s="23" t="s">
        <v>88</v>
      </c>
      <c r="BE109" s="190"/>
      <c r="BF109" s="23"/>
      <c r="BG109" s="190">
        <v>64.2267359904193</v>
      </c>
      <c r="BH109" s="23" t="s">
        <v>88</v>
      </c>
      <c r="BI109" s="190"/>
      <c r="BJ109" s="23"/>
      <c r="BK109" s="190">
        <v>68.375783135400397</v>
      </c>
      <c r="BL109" s="23" t="s">
        <v>88</v>
      </c>
      <c r="BM109" s="190"/>
      <c r="BN109" s="23"/>
      <c r="BO109" s="190">
        <v>72.792858725947198</v>
      </c>
      <c r="BP109" s="23" t="s">
        <v>88</v>
      </c>
      <c r="BQ109" s="190"/>
      <c r="BR109" s="23"/>
      <c r="BS109" s="190">
        <v>77.495277399643399</v>
      </c>
      <c r="BT109" s="23" t="s">
        <v>88</v>
      </c>
      <c r="BU109" s="190"/>
      <c r="BV109" s="23"/>
      <c r="BW109" s="97">
        <f t="shared" si="47"/>
        <v>503.11876655821027</v>
      </c>
      <c r="BX109" s="384"/>
      <c r="BY109" s="53"/>
      <c r="BZ109" s="325"/>
      <c r="CA109" s="325"/>
      <c r="CB109" s="97"/>
      <c r="CC109" s="325"/>
      <c r="CD109" s="546"/>
      <c r="CE109" s="546"/>
      <c r="CF109" s="53"/>
      <c r="CG109" s="325"/>
      <c r="CH109" s="325"/>
      <c r="CI109" s="97"/>
      <c r="CJ109" s="325"/>
      <c r="CK109" s="546"/>
      <c r="CL109" s="546"/>
      <c r="CM109" s="53"/>
      <c r="CN109" s="325"/>
      <c r="CO109" s="325"/>
      <c r="CP109" s="97"/>
      <c r="CQ109" s="325"/>
      <c r="CR109" s="546"/>
      <c r="CS109" s="546"/>
      <c r="CT109" s="53"/>
      <c r="CU109" s="325"/>
      <c r="CV109" s="325"/>
      <c r="CW109" s="97"/>
      <c r="CX109" s="325"/>
      <c r="CY109" s="546"/>
      <c r="CZ109" s="546"/>
      <c r="DA109" s="53"/>
      <c r="DB109" s="325"/>
      <c r="DC109" s="325"/>
      <c r="DD109" s="97"/>
      <c r="DE109" s="325"/>
      <c r="DF109" s="546"/>
      <c r="DG109" s="546"/>
      <c r="DH109" s="53"/>
      <c r="DI109" s="325"/>
      <c r="DJ109" s="325"/>
      <c r="DK109" s="97"/>
      <c r="DL109" s="325"/>
      <c r="DM109" s="546"/>
      <c r="DN109" s="546"/>
    </row>
    <row r="110" spans="1:118" s="376" customFormat="1" ht="102">
      <c r="B110" s="533"/>
      <c r="C110" s="527"/>
      <c r="D110" s="306" t="s">
        <v>434</v>
      </c>
      <c r="E110" s="432">
        <v>1.0999999999999999E-2</v>
      </c>
      <c r="F110" s="438" t="s">
        <v>90</v>
      </c>
      <c r="G110" s="438" t="s">
        <v>435</v>
      </c>
      <c r="H110" s="438" t="s">
        <v>436</v>
      </c>
      <c r="I110" s="438" t="s">
        <v>437</v>
      </c>
      <c r="J110" s="385" t="s">
        <v>438</v>
      </c>
      <c r="K110" s="364">
        <v>44713</v>
      </c>
      <c r="L110" s="156">
        <v>47848</v>
      </c>
      <c r="M110" s="315" t="s">
        <v>97</v>
      </c>
      <c r="N110" s="315" t="s">
        <v>439</v>
      </c>
      <c r="O110" s="315" t="s">
        <v>440</v>
      </c>
      <c r="P110" s="315" t="s">
        <v>87</v>
      </c>
      <c r="Q110" s="194">
        <v>0</v>
      </c>
      <c r="R110" s="216">
        <v>2022</v>
      </c>
      <c r="S110" s="194">
        <v>1</v>
      </c>
      <c r="T110" s="194">
        <v>2</v>
      </c>
      <c r="U110" s="194">
        <v>3</v>
      </c>
      <c r="V110" s="194">
        <v>4</v>
      </c>
      <c r="W110" s="194">
        <v>5</v>
      </c>
      <c r="X110" s="194">
        <v>6</v>
      </c>
      <c r="Y110" s="194">
        <v>7</v>
      </c>
      <c r="Z110" s="194">
        <v>8</v>
      </c>
      <c r="AA110" s="194">
        <v>9</v>
      </c>
      <c r="AB110" s="194">
        <v>9</v>
      </c>
      <c r="AC110" s="328">
        <v>2</v>
      </c>
      <c r="AD110" s="328">
        <v>2.06</v>
      </c>
      <c r="AE110" s="328">
        <v>2.1217999999999999</v>
      </c>
      <c r="AF110" s="328">
        <v>2.185454</v>
      </c>
      <c r="AG110" s="328">
        <v>2.2510176200000003</v>
      </c>
      <c r="AH110" s="328">
        <v>2.3185481486000001</v>
      </c>
      <c r="AI110" s="328">
        <v>2.3881045930580003</v>
      </c>
      <c r="AJ110" s="328">
        <v>2.4597477308497404</v>
      </c>
      <c r="AK110" s="328">
        <v>2.5335401627752328</v>
      </c>
      <c r="AL110" s="387">
        <f t="shared" si="46"/>
        <v>20.318212255282976</v>
      </c>
      <c r="AM110" s="214">
        <v>2</v>
      </c>
      <c r="AN110" s="194" t="s">
        <v>126</v>
      </c>
      <c r="AO110" s="214"/>
      <c r="AP110" s="194"/>
      <c r="AQ110" s="214">
        <v>2</v>
      </c>
      <c r="AR110" s="194" t="s">
        <v>126</v>
      </c>
      <c r="AS110" s="214"/>
      <c r="AT110" s="194"/>
      <c r="AU110" s="214">
        <v>2.1217999999999999</v>
      </c>
      <c r="AV110" s="194" t="s">
        <v>126</v>
      </c>
      <c r="AW110" s="214"/>
      <c r="AX110" s="194"/>
      <c r="AY110" s="214">
        <v>2.185454</v>
      </c>
      <c r="AZ110" s="194" t="s">
        <v>126</v>
      </c>
      <c r="BA110" s="214"/>
      <c r="BB110" s="194"/>
      <c r="BC110" s="214">
        <v>2.2510176200000003</v>
      </c>
      <c r="BD110" s="194" t="s">
        <v>126</v>
      </c>
      <c r="BE110" s="214"/>
      <c r="BF110" s="194"/>
      <c r="BG110" s="214">
        <v>2.3185481486000001</v>
      </c>
      <c r="BH110" s="194" t="s">
        <v>126</v>
      </c>
      <c r="BI110" s="214"/>
      <c r="BJ110" s="194"/>
      <c r="BK110" s="214">
        <v>2.3881045930580003</v>
      </c>
      <c r="BL110" s="194" t="s">
        <v>126</v>
      </c>
      <c r="BM110" s="214"/>
      <c r="BN110" s="194"/>
      <c r="BO110" s="214">
        <v>2.4597477308497404</v>
      </c>
      <c r="BP110" s="194" t="s">
        <v>126</v>
      </c>
      <c r="BQ110" s="214"/>
      <c r="BR110" s="194"/>
      <c r="BS110" s="214">
        <v>2</v>
      </c>
      <c r="BT110" s="194" t="s">
        <v>126</v>
      </c>
      <c r="BU110" s="214"/>
      <c r="BV110" s="194"/>
      <c r="BW110" s="97">
        <f t="shared" si="47"/>
        <v>19.724672092507742</v>
      </c>
      <c r="BX110" s="384"/>
      <c r="BY110" s="53"/>
      <c r="BZ110" s="325"/>
      <c r="CA110" s="325"/>
      <c r="CB110" s="97"/>
      <c r="CC110" s="325"/>
      <c r="CD110" s="546"/>
      <c r="CE110" s="546"/>
      <c r="CF110" s="53"/>
      <c r="CG110" s="325"/>
      <c r="CH110" s="325"/>
      <c r="CI110" s="97"/>
      <c r="CJ110" s="325"/>
      <c r="CK110" s="546"/>
      <c r="CL110" s="546"/>
      <c r="CM110" s="53"/>
      <c r="CN110" s="325"/>
      <c r="CO110" s="325"/>
      <c r="CP110" s="97"/>
      <c r="CQ110" s="325"/>
      <c r="CR110" s="546"/>
      <c r="CS110" s="546"/>
      <c r="CT110" s="53"/>
      <c r="CU110" s="325"/>
      <c r="CV110" s="325"/>
      <c r="CW110" s="97"/>
      <c r="CX110" s="325"/>
      <c r="CY110" s="546"/>
      <c r="CZ110" s="546"/>
      <c r="DA110" s="53"/>
      <c r="DB110" s="325"/>
      <c r="DC110" s="325"/>
      <c r="DD110" s="97"/>
      <c r="DE110" s="325"/>
      <c r="DF110" s="546"/>
      <c r="DG110" s="546"/>
      <c r="DH110" s="53"/>
      <c r="DI110" s="325"/>
      <c r="DJ110" s="325"/>
      <c r="DK110" s="97"/>
      <c r="DL110" s="325"/>
      <c r="DM110" s="546"/>
      <c r="DN110" s="546"/>
    </row>
    <row r="111" spans="1:118" s="376" customFormat="1" ht="38.25">
      <c r="B111" s="533"/>
      <c r="C111" s="527"/>
      <c r="D111" s="306" t="s">
        <v>1241</v>
      </c>
      <c r="E111" s="432">
        <v>0.01</v>
      </c>
      <c r="F111" s="438" t="s">
        <v>90</v>
      </c>
      <c r="G111" s="438" t="s">
        <v>441</v>
      </c>
      <c r="H111" s="438" t="s">
        <v>406</v>
      </c>
      <c r="I111" s="438" t="s">
        <v>442</v>
      </c>
      <c r="J111" s="385" t="s">
        <v>443</v>
      </c>
      <c r="K111" s="364">
        <v>44743</v>
      </c>
      <c r="L111" s="156">
        <v>47848</v>
      </c>
      <c r="M111" s="315" t="s">
        <v>97</v>
      </c>
      <c r="N111" s="315" t="s">
        <v>444</v>
      </c>
      <c r="O111" s="315" t="s">
        <v>445</v>
      </c>
      <c r="P111" s="315" t="s">
        <v>87</v>
      </c>
      <c r="Q111" s="325">
        <v>0</v>
      </c>
      <c r="R111" s="216">
        <v>2022</v>
      </c>
      <c r="S111" s="203">
        <v>0.1</v>
      </c>
      <c r="T111" s="203">
        <v>0.15</v>
      </c>
      <c r="U111" s="203">
        <v>0.2</v>
      </c>
      <c r="V111" s="203">
        <v>0.25</v>
      </c>
      <c r="W111" s="203">
        <v>0.3</v>
      </c>
      <c r="X111" s="203">
        <v>0.35</v>
      </c>
      <c r="Y111" s="203">
        <v>0.4</v>
      </c>
      <c r="Z111" s="203">
        <v>0.45</v>
      </c>
      <c r="AA111" s="203">
        <v>0.5</v>
      </c>
      <c r="AB111" s="407">
        <v>0.5</v>
      </c>
      <c r="AC111" s="328">
        <v>6</v>
      </c>
      <c r="AD111" s="328">
        <v>6</v>
      </c>
      <c r="AE111" s="328">
        <v>6</v>
      </c>
      <c r="AF111" s="328">
        <v>6</v>
      </c>
      <c r="AG111" s="328">
        <v>6</v>
      </c>
      <c r="AH111" s="328">
        <v>6</v>
      </c>
      <c r="AI111" s="328">
        <v>6</v>
      </c>
      <c r="AJ111" s="328">
        <v>6</v>
      </c>
      <c r="AK111" s="328">
        <v>6</v>
      </c>
      <c r="AL111" s="387">
        <f t="shared" si="46"/>
        <v>54</v>
      </c>
      <c r="AM111" s="214">
        <v>6</v>
      </c>
      <c r="AN111" s="194" t="s">
        <v>126</v>
      </c>
      <c r="AO111" s="214"/>
      <c r="AP111" s="194"/>
      <c r="AQ111" s="214">
        <v>6</v>
      </c>
      <c r="AR111" s="194" t="s">
        <v>126</v>
      </c>
      <c r="AS111" s="214"/>
      <c r="AT111" s="194"/>
      <c r="AU111" s="214">
        <v>6</v>
      </c>
      <c r="AV111" s="194" t="s">
        <v>126</v>
      </c>
      <c r="AW111" s="214"/>
      <c r="AX111" s="194"/>
      <c r="AY111" s="214">
        <v>6</v>
      </c>
      <c r="AZ111" s="194" t="s">
        <v>126</v>
      </c>
      <c r="BA111" s="214"/>
      <c r="BB111" s="194"/>
      <c r="BC111" s="214">
        <v>6</v>
      </c>
      <c r="BD111" s="194" t="s">
        <v>126</v>
      </c>
      <c r="BE111" s="214"/>
      <c r="BF111" s="194"/>
      <c r="BG111" s="214">
        <v>6</v>
      </c>
      <c r="BH111" s="194" t="s">
        <v>126</v>
      </c>
      <c r="BI111" s="214"/>
      <c r="BJ111" s="194"/>
      <c r="BK111" s="214">
        <v>6</v>
      </c>
      <c r="BL111" s="194" t="s">
        <v>126</v>
      </c>
      <c r="BM111" s="214"/>
      <c r="BN111" s="194"/>
      <c r="BO111" s="214">
        <v>6</v>
      </c>
      <c r="BP111" s="194" t="s">
        <v>126</v>
      </c>
      <c r="BQ111" s="214"/>
      <c r="BR111" s="194"/>
      <c r="BS111" s="214">
        <v>6</v>
      </c>
      <c r="BT111" s="194" t="s">
        <v>126</v>
      </c>
      <c r="BU111" s="214"/>
      <c r="BV111" s="194"/>
      <c r="BW111" s="97">
        <f t="shared" si="47"/>
        <v>54</v>
      </c>
      <c r="BX111" s="384"/>
      <c r="BY111" s="53"/>
      <c r="BZ111" s="325"/>
      <c r="CA111" s="325"/>
      <c r="CB111" s="97"/>
      <c r="CC111" s="325"/>
      <c r="CD111" s="546"/>
      <c r="CE111" s="546"/>
      <c r="CF111" s="53"/>
      <c r="CG111" s="325"/>
      <c r="CH111" s="325"/>
      <c r="CI111" s="97"/>
      <c r="CJ111" s="325"/>
      <c r="CK111" s="546"/>
      <c r="CL111" s="546"/>
      <c r="CM111" s="53"/>
      <c r="CN111" s="325"/>
      <c r="CO111" s="325"/>
      <c r="CP111" s="97"/>
      <c r="CQ111" s="325"/>
      <c r="CR111" s="546"/>
      <c r="CS111" s="546"/>
      <c r="CT111" s="53"/>
      <c r="CU111" s="325"/>
      <c r="CV111" s="325"/>
      <c r="CW111" s="97"/>
      <c r="CX111" s="325"/>
      <c r="CY111" s="546"/>
      <c r="CZ111" s="546"/>
      <c r="DA111" s="53"/>
      <c r="DB111" s="325"/>
      <c r="DC111" s="325"/>
      <c r="DD111" s="97"/>
      <c r="DE111" s="325"/>
      <c r="DF111" s="546"/>
      <c r="DG111" s="546"/>
      <c r="DH111" s="53"/>
      <c r="DI111" s="325"/>
      <c r="DJ111" s="325"/>
      <c r="DK111" s="97"/>
      <c r="DL111" s="325"/>
      <c r="DM111" s="546"/>
      <c r="DN111" s="546"/>
    </row>
    <row r="112" spans="1:118" s="376" customFormat="1" ht="153">
      <c r="B112" s="533"/>
      <c r="C112" s="527"/>
      <c r="D112" s="306" t="s">
        <v>1242</v>
      </c>
      <c r="E112" s="431">
        <v>7.0000000000000001E-3</v>
      </c>
      <c r="F112" s="438" t="s">
        <v>90</v>
      </c>
      <c r="G112" s="438" t="s">
        <v>137</v>
      </c>
      <c r="H112" s="438" t="s">
        <v>138</v>
      </c>
      <c r="I112" s="438" t="s">
        <v>139</v>
      </c>
      <c r="J112" s="385" t="s">
        <v>140</v>
      </c>
      <c r="K112" s="364">
        <v>44713</v>
      </c>
      <c r="L112" s="364">
        <v>46387</v>
      </c>
      <c r="M112" s="316" t="s">
        <v>97</v>
      </c>
      <c r="N112" s="315" t="s">
        <v>446</v>
      </c>
      <c r="O112" s="315" t="s">
        <v>1030</v>
      </c>
      <c r="P112" s="315" t="s">
        <v>87</v>
      </c>
      <c r="Q112" s="203">
        <v>0.3</v>
      </c>
      <c r="R112" s="216">
        <v>2021</v>
      </c>
      <c r="S112" s="203">
        <v>0.4</v>
      </c>
      <c r="T112" s="203">
        <v>0.5</v>
      </c>
      <c r="U112" s="203">
        <v>0.7</v>
      </c>
      <c r="V112" s="203">
        <v>0.9</v>
      </c>
      <c r="W112" s="203">
        <v>1</v>
      </c>
      <c r="X112" s="203"/>
      <c r="Y112" s="203"/>
      <c r="Z112" s="203"/>
      <c r="AA112" s="203"/>
      <c r="AB112" s="407">
        <v>1</v>
      </c>
      <c r="AC112" s="333">
        <v>200</v>
      </c>
      <c r="AD112" s="333">
        <v>206</v>
      </c>
      <c r="AE112" s="333">
        <v>212</v>
      </c>
      <c r="AF112" s="333">
        <v>218</v>
      </c>
      <c r="AG112" s="333">
        <v>100</v>
      </c>
      <c r="AH112" s="328"/>
      <c r="AI112" s="328"/>
      <c r="AJ112" s="328"/>
      <c r="AK112" s="328"/>
      <c r="AL112" s="387">
        <f t="shared" si="46"/>
        <v>936</v>
      </c>
      <c r="AM112" s="461">
        <v>200</v>
      </c>
      <c r="AN112" s="316" t="s">
        <v>80</v>
      </c>
      <c r="AO112" s="316" t="s">
        <v>81</v>
      </c>
      <c r="AP112" s="316" t="s">
        <v>81</v>
      </c>
      <c r="AQ112" s="461">
        <v>206</v>
      </c>
      <c r="AR112" s="316" t="s">
        <v>80</v>
      </c>
      <c r="AS112" s="316" t="s">
        <v>81</v>
      </c>
      <c r="AT112" s="316" t="s">
        <v>81</v>
      </c>
      <c r="AU112" s="461">
        <v>212</v>
      </c>
      <c r="AV112" s="316" t="s">
        <v>80</v>
      </c>
      <c r="AW112" s="316" t="s">
        <v>81</v>
      </c>
      <c r="AX112" s="316" t="s">
        <v>81</v>
      </c>
      <c r="AY112" s="461">
        <v>218</v>
      </c>
      <c r="AZ112" s="316" t="s">
        <v>80</v>
      </c>
      <c r="BA112" s="214"/>
      <c r="BB112" s="194"/>
      <c r="BC112" s="214">
        <v>100</v>
      </c>
      <c r="BD112" s="316" t="s">
        <v>80</v>
      </c>
      <c r="BE112" s="214"/>
      <c r="BF112" s="194"/>
      <c r="BG112" s="214"/>
      <c r="BH112" s="194"/>
      <c r="BI112" s="214"/>
      <c r="BJ112" s="194"/>
      <c r="BK112" s="214"/>
      <c r="BL112" s="194"/>
      <c r="BM112" s="214"/>
      <c r="BN112" s="194"/>
      <c r="BO112" s="214"/>
      <c r="BP112" s="194"/>
      <c r="BQ112" s="214"/>
      <c r="BR112" s="194"/>
      <c r="BS112" s="214"/>
      <c r="BT112" s="194"/>
      <c r="BU112" s="214"/>
      <c r="BV112" s="194"/>
      <c r="BW112" s="97">
        <f t="shared" si="47"/>
        <v>936</v>
      </c>
      <c r="BX112" s="384"/>
      <c r="BY112" s="53"/>
      <c r="BZ112" s="45"/>
      <c r="CA112" s="45"/>
      <c r="CB112" s="97"/>
      <c r="CC112" s="45"/>
      <c r="CD112" s="546"/>
      <c r="CE112" s="546"/>
      <c r="CF112" s="53"/>
      <c r="CG112" s="45"/>
      <c r="CH112" s="45"/>
      <c r="CI112" s="97"/>
      <c r="CJ112" s="45"/>
      <c r="CK112" s="546"/>
      <c r="CL112" s="546"/>
      <c r="CM112" s="53"/>
      <c r="CN112" s="45"/>
      <c r="CO112" s="45"/>
      <c r="CP112" s="97"/>
      <c r="CQ112" s="45"/>
      <c r="CR112" s="546"/>
      <c r="CS112" s="546"/>
      <c r="CT112" s="53"/>
      <c r="CU112" s="45"/>
      <c r="CV112" s="45"/>
      <c r="CW112" s="97"/>
      <c r="CX112" s="45"/>
      <c r="CY112" s="546"/>
      <c r="CZ112" s="546"/>
      <c r="DA112" s="53"/>
      <c r="DB112" s="45"/>
      <c r="DC112" s="45"/>
      <c r="DD112" s="97"/>
      <c r="DE112" s="45"/>
      <c r="DF112" s="546"/>
      <c r="DG112" s="546"/>
      <c r="DH112" s="53"/>
      <c r="DI112" s="45"/>
      <c r="DJ112" s="45"/>
      <c r="DK112" s="97"/>
      <c r="DL112" s="45"/>
      <c r="DM112" s="546"/>
      <c r="DN112" s="546"/>
    </row>
    <row r="113" spans="1:118" s="376" customFormat="1" ht="38.25">
      <c r="B113" s="533"/>
      <c r="C113" s="527"/>
      <c r="D113" s="306" t="s">
        <v>447</v>
      </c>
      <c r="E113" s="432">
        <v>6.0000000000000001E-3</v>
      </c>
      <c r="F113" s="438" t="s">
        <v>90</v>
      </c>
      <c r="G113" s="438" t="s">
        <v>441</v>
      </c>
      <c r="H113" s="438" t="s">
        <v>406</v>
      </c>
      <c r="I113" s="438" t="s">
        <v>442</v>
      </c>
      <c r="J113" s="385" t="s">
        <v>443</v>
      </c>
      <c r="K113" s="364">
        <v>44743</v>
      </c>
      <c r="L113" s="156">
        <v>47848</v>
      </c>
      <c r="M113" s="315" t="s">
        <v>97</v>
      </c>
      <c r="N113" s="315" t="s">
        <v>448</v>
      </c>
      <c r="O113" s="315" t="s">
        <v>440</v>
      </c>
      <c r="P113" s="315" t="s">
        <v>87</v>
      </c>
      <c r="Q113" s="194">
        <v>0</v>
      </c>
      <c r="R113" s="216">
        <v>2022</v>
      </c>
      <c r="S113" s="194">
        <v>2</v>
      </c>
      <c r="T113" s="194">
        <v>4</v>
      </c>
      <c r="U113" s="194">
        <v>6</v>
      </c>
      <c r="V113" s="194">
        <v>8</v>
      </c>
      <c r="W113" s="194">
        <v>10</v>
      </c>
      <c r="X113" s="194">
        <v>12</v>
      </c>
      <c r="Y113" s="194">
        <v>14</v>
      </c>
      <c r="Z113" s="194">
        <v>16</v>
      </c>
      <c r="AA113" s="194">
        <v>18</v>
      </c>
      <c r="AB113" s="194">
        <v>18</v>
      </c>
      <c r="AC113" s="328">
        <v>10</v>
      </c>
      <c r="AD113" s="328">
        <v>10</v>
      </c>
      <c r="AE113" s="328">
        <v>10</v>
      </c>
      <c r="AF113" s="328">
        <v>10</v>
      </c>
      <c r="AG113" s="328">
        <v>10</v>
      </c>
      <c r="AH113" s="328">
        <v>10</v>
      </c>
      <c r="AI113" s="328">
        <v>10</v>
      </c>
      <c r="AJ113" s="328">
        <v>10</v>
      </c>
      <c r="AK113" s="328">
        <v>10</v>
      </c>
      <c r="AL113" s="387">
        <f t="shared" si="46"/>
        <v>90</v>
      </c>
      <c r="AM113" s="214">
        <v>10</v>
      </c>
      <c r="AN113" s="194" t="s">
        <v>126</v>
      </c>
      <c r="AO113" s="214"/>
      <c r="AP113" s="194"/>
      <c r="AQ113" s="214">
        <v>10</v>
      </c>
      <c r="AR113" s="194" t="s">
        <v>126</v>
      </c>
      <c r="AS113" s="214"/>
      <c r="AT113" s="194"/>
      <c r="AU113" s="214">
        <v>10</v>
      </c>
      <c r="AV113" s="194" t="s">
        <v>126</v>
      </c>
      <c r="AW113" s="214"/>
      <c r="AX113" s="194"/>
      <c r="AY113" s="214">
        <v>10</v>
      </c>
      <c r="AZ113" s="194" t="s">
        <v>126</v>
      </c>
      <c r="BA113" s="214"/>
      <c r="BB113" s="194"/>
      <c r="BC113" s="214">
        <v>10</v>
      </c>
      <c r="BD113" s="194" t="s">
        <v>126</v>
      </c>
      <c r="BE113" s="214"/>
      <c r="BF113" s="194"/>
      <c r="BG113" s="214">
        <v>10</v>
      </c>
      <c r="BH113" s="194" t="s">
        <v>126</v>
      </c>
      <c r="BI113" s="214"/>
      <c r="BJ113" s="194"/>
      <c r="BK113" s="214">
        <v>10</v>
      </c>
      <c r="BL113" s="194" t="s">
        <v>126</v>
      </c>
      <c r="BM113" s="214"/>
      <c r="BN113" s="194"/>
      <c r="BO113" s="214">
        <v>10</v>
      </c>
      <c r="BP113" s="194" t="s">
        <v>126</v>
      </c>
      <c r="BQ113" s="214"/>
      <c r="BR113" s="194"/>
      <c r="BS113" s="214">
        <v>10</v>
      </c>
      <c r="BT113" s="194" t="s">
        <v>126</v>
      </c>
      <c r="BU113" s="214"/>
      <c r="BV113" s="194"/>
      <c r="BW113" s="97">
        <f t="shared" si="47"/>
        <v>90</v>
      </c>
      <c r="BX113" s="384"/>
      <c r="BY113" s="53"/>
      <c r="BZ113" s="325"/>
      <c r="CA113" s="325"/>
      <c r="CB113" s="97"/>
      <c r="CC113" s="325"/>
      <c r="CD113" s="546"/>
      <c r="CE113" s="546"/>
      <c r="CF113" s="53"/>
      <c r="CG113" s="325"/>
      <c r="CH113" s="325"/>
      <c r="CI113" s="97"/>
      <c r="CJ113" s="325"/>
      <c r="CK113" s="546"/>
      <c r="CL113" s="546"/>
      <c r="CM113" s="53"/>
      <c r="CN113" s="325"/>
      <c r="CO113" s="325"/>
      <c r="CP113" s="97"/>
      <c r="CQ113" s="325"/>
      <c r="CR113" s="546"/>
      <c r="CS113" s="546"/>
      <c r="CT113" s="53"/>
      <c r="CU113" s="325"/>
      <c r="CV113" s="325"/>
      <c r="CW113" s="97"/>
      <c r="CX113" s="325"/>
      <c r="CY113" s="546"/>
      <c r="CZ113" s="546"/>
      <c r="DA113" s="53"/>
      <c r="DB113" s="325"/>
      <c r="DC113" s="325"/>
      <c r="DD113" s="97"/>
      <c r="DE113" s="325"/>
      <c r="DF113" s="546"/>
      <c r="DG113" s="546"/>
      <c r="DH113" s="53"/>
      <c r="DI113" s="325"/>
      <c r="DJ113" s="325"/>
      <c r="DK113" s="97"/>
      <c r="DL113" s="325"/>
      <c r="DM113" s="546"/>
      <c r="DN113" s="546"/>
    </row>
    <row r="114" spans="1:118" ht="63.75">
      <c r="A114" s="19"/>
      <c r="B114" s="533"/>
      <c r="C114" s="527"/>
      <c r="D114" s="306" t="s">
        <v>449</v>
      </c>
      <c r="E114" s="432">
        <v>0.01</v>
      </c>
      <c r="F114" s="187" t="s">
        <v>90</v>
      </c>
      <c r="G114" s="187" t="s">
        <v>441</v>
      </c>
      <c r="H114" s="187" t="s">
        <v>406</v>
      </c>
      <c r="I114" s="187" t="s">
        <v>450</v>
      </c>
      <c r="J114" s="385" t="s">
        <v>451</v>
      </c>
      <c r="K114" s="207">
        <v>44713</v>
      </c>
      <c r="L114" s="156">
        <v>47848</v>
      </c>
      <c r="M114" s="193" t="s">
        <v>97</v>
      </c>
      <c r="N114" s="193" t="s">
        <v>452</v>
      </c>
      <c r="O114" s="193" t="s">
        <v>453</v>
      </c>
      <c r="P114" s="193" t="s">
        <v>87</v>
      </c>
      <c r="Q114" s="325">
        <v>0</v>
      </c>
      <c r="R114" s="216">
        <v>2022</v>
      </c>
      <c r="S114" s="325">
        <v>0.2</v>
      </c>
      <c r="T114" s="325">
        <v>0.3</v>
      </c>
      <c r="U114" s="325">
        <v>0.4</v>
      </c>
      <c r="V114" s="325">
        <v>0.5</v>
      </c>
      <c r="W114" s="325">
        <v>0.6</v>
      </c>
      <c r="X114" s="325">
        <v>0.7</v>
      </c>
      <c r="Y114" s="325">
        <v>0.8</v>
      </c>
      <c r="Z114" s="325">
        <v>0.9</v>
      </c>
      <c r="AA114" s="325">
        <v>1</v>
      </c>
      <c r="AB114" s="325">
        <v>1</v>
      </c>
      <c r="AC114" s="328">
        <v>5</v>
      </c>
      <c r="AD114" s="328">
        <v>5</v>
      </c>
      <c r="AE114" s="328">
        <v>5</v>
      </c>
      <c r="AF114" s="328">
        <v>5</v>
      </c>
      <c r="AG114" s="328">
        <v>5</v>
      </c>
      <c r="AH114" s="328">
        <v>5</v>
      </c>
      <c r="AI114" s="328">
        <v>5</v>
      </c>
      <c r="AJ114" s="328">
        <v>5</v>
      </c>
      <c r="AK114" s="328">
        <v>5</v>
      </c>
      <c r="AL114" s="454">
        <f t="shared" si="46"/>
        <v>45</v>
      </c>
      <c r="AM114" s="214">
        <v>5</v>
      </c>
      <c r="AN114" s="194" t="s">
        <v>114</v>
      </c>
      <c r="AO114" s="214"/>
      <c r="AP114" s="194"/>
      <c r="AQ114" s="214">
        <v>5</v>
      </c>
      <c r="AR114" s="194" t="s">
        <v>114</v>
      </c>
      <c r="AS114" s="214"/>
      <c r="AT114" s="194"/>
      <c r="AU114" s="214">
        <v>5</v>
      </c>
      <c r="AV114" s="194" t="s">
        <v>114</v>
      </c>
      <c r="AW114" s="214"/>
      <c r="AX114" s="194"/>
      <c r="AY114" s="214">
        <v>5</v>
      </c>
      <c r="AZ114" s="194" t="s">
        <v>114</v>
      </c>
      <c r="BA114" s="214"/>
      <c r="BB114" s="194"/>
      <c r="BC114" s="214">
        <v>5</v>
      </c>
      <c r="BD114" s="194" t="s">
        <v>114</v>
      </c>
      <c r="BE114" s="214"/>
      <c r="BF114" s="194"/>
      <c r="BG114" s="214">
        <v>5</v>
      </c>
      <c r="BH114" s="194" t="s">
        <v>114</v>
      </c>
      <c r="BI114" s="214"/>
      <c r="BJ114" s="194"/>
      <c r="BK114" s="214">
        <v>5</v>
      </c>
      <c r="BL114" s="194" t="s">
        <v>114</v>
      </c>
      <c r="BM114" s="214"/>
      <c r="BN114" s="194"/>
      <c r="BO114" s="214">
        <v>5</v>
      </c>
      <c r="BP114" s="194" t="s">
        <v>114</v>
      </c>
      <c r="BQ114" s="214"/>
      <c r="BR114" s="194"/>
      <c r="BS114" s="214">
        <v>5</v>
      </c>
      <c r="BT114" s="194" t="s">
        <v>114</v>
      </c>
      <c r="BU114" s="214"/>
      <c r="BV114" s="194"/>
      <c r="BW114" s="97">
        <f t="shared" si="47"/>
        <v>45</v>
      </c>
      <c r="BX114" s="384"/>
      <c r="BY114" s="53"/>
      <c r="BZ114" s="291"/>
      <c r="CA114" s="291"/>
      <c r="CB114" s="97"/>
      <c r="CC114" s="291"/>
      <c r="CD114" s="546"/>
      <c r="CE114" s="546"/>
      <c r="CF114" s="53"/>
      <c r="CG114" s="291"/>
      <c r="CH114" s="291"/>
      <c r="CI114" s="97"/>
      <c r="CJ114" s="291"/>
      <c r="CK114" s="546"/>
      <c r="CL114" s="546"/>
      <c r="CM114" s="53"/>
      <c r="CN114" s="291"/>
      <c r="CO114" s="291"/>
      <c r="CP114" s="97"/>
      <c r="CQ114" s="291"/>
      <c r="CR114" s="546"/>
      <c r="CS114" s="546"/>
      <c r="CT114" s="53"/>
      <c r="CU114" s="291"/>
      <c r="CV114" s="291"/>
      <c r="CW114" s="97"/>
      <c r="CX114" s="291"/>
      <c r="CY114" s="546"/>
      <c r="CZ114" s="546"/>
      <c r="DA114" s="53"/>
      <c r="DB114" s="291"/>
      <c r="DC114" s="291"/>
      <c r="DD114" s="97"/>
      <c r="DE114" s="291"/>
      <c r="DF114" s="546"/>
      <c r="DG114" s="546"/>
      <c r="DH114" s="53"/>
      <c r="DI114" s="291"/>
      <c r="DJ114" s="291"/>
      <c r="DK114" s="97"/>
      <c r="DL114" s="291"/>
      <c r="DM114" s="546"/>
      <c r="DN114" s="546"/>
    </row>
    <row r="115" spans="1:118" ht="76.5">
      <c r="A115" s="19"/>
      <c r="B115" s="533"/>
      <c r="C115" s="527"/>
      <c r="D115" s="306" t="s">
        <v>454</v>
      </c>
      <c r="E115" s="432">
        <v>1.2E-2</v>
      </c>
      <c r="F115" s="187" t="s">
        <v>90</v>
      </c>
      <c r="G115" s="187" t="s">
        <v>441</v>
      </c>
      <c r="H115" s="187" t="s">
        <v>406</v>
      </c>
      <c r="I115" s="187" t="s">
        <v>450</v>
      </c>
      <c r="J115" s="385" t="s">
        <v>451</v>
      </c>
      <c r="K115" s="207">
        <v>44713</v>
      </c>
      <c r="L115" s="156">
        <v>47848</v>
      </c>
      <c r="M115" s="193" t="s">
        <v>97</v>
      </c>
      <c r="N115" s="193" t="s">
        <v>455</v>
      </c>
      <c r="O115" s="193" t="s">
        <v>456</v>
      </c>
      <c r="P115" s="193" t="s">
        <v>87</v>
      </c>
      <c r="Q115" s="325">
        <v>0</v>
      </c>
      <c r="R115" s="216">
        <v>2022</v>
      </c>
      <c r="S115" s="243">
        <v>0.2</v>
      </c>
      <c r="T115" s="243">
        <v>0.3</v>
      </c>
      <c r="U115" s="243">
        <v>0.4</v>
      </c>
      <c r="V115" s="243">
        <v>0.5</v>
      </c>
      <c r="W115" s="243">
        <v>0.6</v>
      </c>
      <c r="X115" s="243">
        <v>0.7</v>
      </c>
      <c r="Y115" s="243">
        <v>0.8</v>
      </c>
      <c r="Z115" s="243">
        <v>0.9</v>
      </c>
      <c r="AA115" s="243">
        <v>1</v>
      </c>
      <c r="AB115" s="243">
        <v>1</v>
      </c>
      <c r="AC115" s="328">
        <v>2</v>
      </c>
      <c r="AD115" s="328">
        <v>2</v>
      </c>
      <c r="AE115" s="328">
        <v>2</v>
      </c>
      <c r="AF115" s="328">
        <v>2</v>
      </c>
      <c r="AG115" s="328">
        <v>2</v>
      </c>
      <c r="AH115" s="328">
        <v>2</v>
      </c>
      <c r="AI115" s="328">
        <v>2</v>
      </c>
      <c r="AJ115" s="328">
        <v>2</v>
      </c>
      <c r="AK115" s="328">
        <v>2</v>
      </c>
      <c r="AL115" s="454">
        <f t="shared" si="46"/>
        <v>18</v>
      </c>
      <c r="AM115" s="214">
        <v>2</v>
      </c>
      <c r="AN115" s="194" t="s">
        <v>114</v>
      </c>
      <c r="AO115" s="214"/>
      <c r="AP115" s="194"/>
      <c r="AQ115" s="214">
        <v>2</v>
      </c>
      <c r="AR115" s="194" t="s">
        <v>114</v>
      </c>
      <c r="AS115" s="214"/>
      <c r="AT115" s="194"/>
      <c r="AU115" s="214">
        <v>2</v>
      </c>
      <c r="AV115" s="194" t="s">
        <v>114</v>
      </c>
      <c r="AW115" s="214"/>
      <c r="AX115" s="194"/>
      <c r="AY115" s="214">
        <v>2</v>
      </c>
      <c r="AZ115" s="194" t="s">
        <v>114</v>
      </c>
      <c r="BA115" s="214"/>
      <c r="BB115" s="194"/>
      <c r="BC115" s="214">
        <v>2</v>
      </c>
      <c r="BD115" s="194" t="s">
        <v>114</v>
      </c>
      <c r="BE115" s="214"/>
      <c r="BF115" s="194"/>
      <c r="BG115" s="214">
        <v>2</v>
      </c>
      <c r="BH115" s="194" t="s">
        <v>114</v>
      </c>
      <c r="BI115" s="214"/>
      <c r="BJ115" s="194"/>
      <c r="BK115" s="214">
        <v>2</v>
      </c>
      <c r="BL115" s="194" t="s">
        <v>114</v>
      </c>
      <c r="BM115" s="214"/>
      <c r="BN115" s="194"/>
      <c r="BO115" s="214">
        <v>2</v>
      </c>
      <c r="BP115" s="194" t="s">
        <v>114</v>
      </c>
      <c r="BQ115" s="214"/>
      <c r="BR115" s="194"/>
      <c r="BS115" s="214">
        <v>2</v>
      </c>
      <c r="BT115" s="194" t="s">
        <v>114</v>
      </c>
      <c r="BU115" s="214"/>
      <c r="BV115" s="194"/>
      <c r="BW115" s="97">
        <f t="shared" si="47"/>
        <v>18</v>
      </c>
      <c r="BX115" s="384"/>
      <c r="BY115" s="53"/>
      <c r="BZ115" s="291"/>
      <c r="CA115" s="291"/>
      <c r="CB115" s="97"/>
      <c r="CC115" s="291"/>
      <c r="CD115" s="546"/>
      <c r="CE115" s="546"/>
      <c r="CF115" s="53"/>
      <c r="CG115" s="291"/>
      <c r="CH115" s="291"/>
      <c r="CI115" s="97"/>
      <c r="CJ115" s="291"/>
      <c r="CK115" s="546"/>
      <c r="CL115" s="546"/>
      <c r="CM115" s="53"/>
      <c r="CN115" s="291"/>
      <c r="CO115" s="291"/>
      <c r="CP115" s="97"/>
      <c r="CQ115" s="291"/>
      <c r="CR115" s="546"/>
      <c r="CS115" s="546"/>
      <c r="CT115" s="53"/>
      <c r="CU115" s="291"/>
      <c r="CV115" s="291"/>
      <c r="CW115" s="97"/>
      <c r="CX115" s="291"/>
      <c r="CY115" s="546"/>
      <c r="CZ115" s="546"/>
      <c r="DA115" s="53"/>
      <c r="DB115" s="291"/>
      <c r="DC115" s="291"/>
      <c r="DD115" s="97"/>
      <c r="DE115" s="291"/>
      <c r="DF115" s="546"/>
      <c r="DG115" s="546"/>
      <c r="DH115" s="53"/>
      <c r="DI115" s="291"/>
      <c r="DJ115" s="291"/>
      <c r="DK115" s="97"/>
      <c r="DL115" s="291"/>
      <c r="DM115" s="546"/>
      <c r="DN115" s="546"/>
    </row>
    <row r="116" spans="1:118" ht="38.25">
      <c r="A116" s="19"/>
      <c r="B116" s="533"/>
      <c r="C116" s="527"/>
      <c r="D116" s="306" t="s">
        <v>973</v>
      </c>
      <c r="E116" s="432">
        <v>7.0000000000000001E-3</v>
      </c>
      <c r="F116" s="187" t="s">
        <v>90</v>
      </c>
      <c r="G116" s="187" t="s">
        <v>441</v>
      </c>
      <c r="H116" s="187" t="s">
        <v>406</v>
      </c>
      <c r="I116" s="187" t="s">
        <v>450</v>
      </c>
      <c r="J116" s="385" t="s">
        <v>451</v>
      </c>
      <c r="K116" s="207">
        <v>44713</v>
      </c>
      <c r="L116" s="156">
        <v>47848</v>
      </c>
      <c r="M116" s="193" t="s">
        <v>97</v>
      </c>
      <c r="N116" s="193" t="s">
        <v>1243</v>
      </c>
      <c r="O116" s="193" t="s">
        <v>1244</v>
      </c>
      <c r="P116" s="193" t="s">
        <v>87</v>
      </c>
      <c r="Q116" s="194">
        <v>0</v>
      </c>
      <c r="R116" s="216">
        <v>2022</v>
      </c>
      <c r="S116" s="194">
        <v>15</v>
      </c>
      <c r="T116" s="194">
        <v>30</v>
      </c>
      <c r="U116" s="194">
        <v>45</v>
      </c>
      <c r="V116" s="194">
        <v>60</v>
      </c>
      <c r="W116" s="194">
        <v>75</v>
      </c>
      <c r="X116" s="194">
        <v>90</v>
      </c>
      <c r="Y116" s="194">
        <v>105</v>
      </c>
      <c r="Z116" s="194">
        <v>120</v>
      </c>
      <c r="AA116" s="194">
        <v>135</v>
      </c>
      <c r="AB116" s="194">
        <v>135</v>
      </c>
      <c r="AC116" s="328">
        <v>3</v>
      </c>
      <c r="AD116" s="328">
        <v>3</v>
      </c>
      <c r="AE116" s="328">
        <v>3</v>
      </c>
      <c r="AF116" s="328">
        <v>3</v>
      </c>
      <c r="AG116" s="328">
        <v>3</v>
      </c>
      <c r="AH116" s="328">
        <v>3</v>
      </c>
      <c r="AI116" s="328">
        <v>3</v>
      </c>
      <c r="AJ116" s="328">
        <v>3</v>
      </c>
      <c r="AK116" s="328">
        <v>3</v>
      </c>
      <c r="AL116" s="454">
        <f t="shared" si="46"/>
        <v>27</v>
      </c>
      <c r="AM116" s="214">
        <v>3</v>
      </c>
      <c r="AN116" s="194" t="s">
        <v>114</v>
      </c>
      <c r="AO116" s="214"/>
      <c r="AP116" s="194"/>
      <c r="AQ116" s="214">
        <v>3</v>
      </c>
      <c r="AR116" s="194" t="s">
        <v>114</v>
      </c>
      <c r="AS116" s="214"/>
      <c r="AT116" s="194"/>
      <c r="AU116" s="214">
        <v>3</v>
      </c>
      <c r="AV116" s="194" t="s">
        <v>114</v>
      </c>
      <c r="AW116" s="214"/>
      <c r="AX116" s="194"/>
      <c r="AY116" s="214">
        <v>3</v>
      </c>
      <c r="AZ116" s="194" t="s">
        <v>114</v>
      </c>
      <c r="BA116" s="214"/>
      <c r="BB116" s="194"/>
      <c r="BC116" s="214">
        <v>3</v>
      </c>
      <c r="BD116" s="194" t="s">
        <v>114</v>
      </c>
      <c r="BE116" s="214"/>
      <c r="BF116" s="194"/>
      <c r="BG116" s="214">
        <v>3</v>
      </c>
      <c r="BH116" s="194" t="s">
        <v>114</v>
      </c>
      <c r="BI116" s="214"/>
      <c r="BJ116" s="194"/>
      <c r="BK116" s="214">
        <v>3</v>
      </c>
      <c r="BL116" s="194" t="s">
        <v>114</v>
      </c>
      <c r="BM116" s="214"/>
      <c r="BN116" s="194"/>
      <c r="BO116" s="214">
        <v>3</v>
      </c>
      <c r="BP116" s="194" t="s">
        <v>114</v>
      </c>
      <c r="BQ116" s="214"/>
      <c r="BR116" s="194"/>
      <c r="BS116" s="214">
        <v>3</v>
      </c>
      <c r="BT116" s="194" t="s">
        <v>114</v>
      </c>
      <c r="BU116" s="214"/>
      <c r="BV116" s="194"/>
      <c r="BW116" s="97">
        <f t="shared" si="47"/>
        <v>27</v>
      </c>
      <c r="BX116" s="384"/>
      <c r="BY116" s="53"/>
      <c r="BZ116" s="291"/>
      <c r="CA116" s="291"/>
      <c r="CB116" s="97"/>
      <c r="CC116" s="291"/>
      <c r="CD116" s="546"/>
      <c r="CE116" s="546"/>
      <c r="CF116" s="53"/>
      <c r="CG116" s="291"/>
      <c r="CH116" s="291"/>
      <c r="CI116" s="97"/>
      <c r="CJ116" s="291"/>
      <c r="CK116" s="546"/>
      <c r="CL116" s="546"/>
      <c r="CM116" s="53"/>
      <c r="CN116" s="291"/>
      <c r="CO116" s="291"/>
      <c r="CP116" s="97"/>
      <c r="CQ116" s="291"/>
      <c r="CR116" s="546"/>
      <c r="CS116" s="546"/>
      <c r="CT116" s="53"/>
      <c r="CU116" s="291"/>
      <c r="CV116" s="291"/>
      <c r="CW116" s="97"/>
      <c r="CX116" s="291"/>
      <c r="CY116" s="546"/>
      <c r="CZ116" s="546"/>
      <c r="DA116" s="53"/>
      <c r="DB116" s="291"/>
      <c r="DC116" s="291"/>
      <c r="DD116" s="97"/>
      <c r="DE116" s="291"/>
      <c r="DF116" s="546"/>
      <c r="DG116" s="546"/>
      <c r="DH116" s="53"/>
      <c r="DI116" s="291"/>
      <c r="DJ116" s="291"/>
      <c r="DK116" s="97"/>
      <c r="DL116" s="291"/>
      <c r="DM116" s="546"/>
      <c r="DN116" s="546"/>
    </row>
    <row r="117" spans="1:118" ht="51">
      <c r="A117" s="19"/>
      <c r="B117" s="533"/>
      <c r="C117" s="527"/>
      <c r="D117" s="306" t="s">
        <v>457</v>
      </c>
      <c r="E117" s="432">
        <v>6.0000000000000001E-3</v>
      </c>
      <c r="F117" s="187" t="s">
        <v>90</v>
      </c>
      <c r="G117" s="187" t="s">
        <v>441</v>
      </c>
      <c r="H117" s="187" t="s">
        <v>406</v>
      </c>
      <c r="I117" s="187" t="s">
        <v>450</v>
      </c>
      <c r="J117" s="385" t="s">
        <v>451</v>
      </c>
      <c r="K117" s="207">
        <v>44713</v>
      </c>
      <c r="L117" s="156">
        <v>47848</v>
      </c>
      <c r="M117" s="193" t="s">
        <v>97</v>
      </c>
      <c r="N117" s="193" t="s">
        <v>1245</v>
      </c>
      <c r="O117" s="193" t="s">
        <v>1246</v>
      </c>
      <c r="P117" s="193" t="s">
        <v>87</v>
      </c>
      <c r="Q117" s="325">
        <v>0</v>
      </c>
      <c r="R117" s="216">
        <v>2022</v>
      </c>
      <c r="S117" s="243">
        <v>0.2</v>
      </c>
      <c r="T117" s="243">
        <v>0.3</v>
      </c>
      <c r="U117" s="243">
        <v>0.4</v>
      </c>
      <c r="V117" s="243">
        <v>0.5</v>
      </c>
      <c r="W117" s="243">
        <v>0.6</v>
      </c>
      <c r="X117" s="243">
        <v>0.7</v>
      </c>
      <c r="Y117" s="243">
        <v>0.8</v>
      </c>
      <c r="Z117" s="243">
        <v>0.9</v>
      </c>
      <c r="AA117" s="243">
        <v>1</v>
      </c>
      <c r="AB117" s="243">
        <v>1</v>
      </c>
      <c r="AC117" s="328">
        <v>2</v>
      </c>
      <c r="AD117" s="328">
        <v>2</v>
      </c>
      <c r="AE117" s="328">
        <v>2</v>
      </c>
      <c r="AF117" s="328">
        <v>2</v>
      </c>
      <c r="AG117" s="328">
        <v>2</v>
      </c>
      <c r="AH117" s="328">
        <v>2</v>
      </c>
      <c r="AI117" s="328">
        <v>2</v>
      </c>
      <c r="AJ117" s="328">
        <v>2</v>
      </c>
      <c r="AK117" s="328">
        <v>2</v>
      </c>
      <c r="AL117" s="454">
        <f t="shared" si="46"/>
        <v>18</v>
      </c>
      <c r="AM117" s="214">
        <v>2</v>
      </c>
      <c r="AN117" s="194" t="s">
        <v>114</v>
      </c>
      <c r="AO117" s="214"/>
      <c r="AP117" s="194"/>
      <c r="AQ117" s="214">
        <v>2</v>
      </c>
      <c r="AR117" s="194" t="s">
        <v>114</v>
      </c>
      <c r="AS117" s="214"/>
      <c r="AT117" s="194"/>
      <c r="AU117" s="214">
        <v>2</v>
      </c>
      <c r="AV117" s="194" t="s">
        <v>114</v>
      </c>
      <c r="AW117" s="214"/>
      <c r="AX117" s="194"/>
      <c r="AY117" s="214">
        <v>2</v>
      </c>
      <c r="AZ117" s="194" t="s">
        <v>114</v>
      </c>
      <c r="BA117" s="214"/>
      <c r="BB117" s="194"/>
      <c r="BC117" s="214">
        <v>2</v>
      </c>
      <c r="BD117" s="194" t="s">
        <v>114</v>
      </c>
      <c r="BE117" s="214"/>
      <c r="BF117" s="194"/>
      <c r="BG117" s="214">
        <v>2</v>
      </c>
      <c r="BH117" s="194" t="s">
        <v>114</v>
      </c>
      <c r="BI117" s="214"/>
      <c r="BJ117" s="194"/>
      <c r="BK117" s="214">
        <v>2</v>
      </c>
      <c r="BL117" s="194" t="s">
        <v>114</v>
      </c>
      <c r="BM117" s="214"/>
      <c r="BN117" s="194"/>
      <c r="BO117" s="214">
        <v>2</v>
      </c>
      <c r="BP117" s="194" t="s">
        <v>114</v>
      </c>
      <c r="BQ117" s="214"/>
      <c r="BR117" s="194"/>
      <c r="BS117" s="214">
        <v>2</v>
      </c>
      <c r="BT117" s="194" t="s">
        <v>114</v>
      </c>
      <c r="BU117" s="214"/>
      <c r="BV117" s="194"/>
      <c r="BW117" s="97">
        <f t="shared" si="47"/>
        <v>18</v>
      </c>
      <c r="BX117" s="384"/>
      <c r="BY117" s="53"/>
      <c r="BZ117" s="291"/>
      <c r="CA117" s="291"/>
      <c r="CB117" s="97"/>
      <c r="CC117" s="291"/>
      <c r="CD117" s="546"/>
      <c r="CE117" s="546"/>
      <c r="CF117" s="53"/>
      <c r="CG117" s="291"/>
      <c r="CH117" s="291"/>
      <c r="CI117" s="97"/>
      <c r="CJ117" s="291"/>
      <c r="CK117" s="546"/>
      <c r="CL117" s="546"/>
      <c r="CM117" s="53"/>
      <c r="CN117" s="291"/>
      <c r="CO117" s="291"/>
      <c r="CP117" s="97"/>
      <c r="CQ117" s="291"/>
      <c r="CR117" s="546"/>
      <c r="CS117" s="546"/>
      <c r="CT117" s="53"/>
      <c r="CU117" s="291"/>
      <c r="CV117" s="291"/>
      <c r="CW117" s="97"/>
      <c r="CX117" s="291"/>
      <c r="CY117" s="546"/>
      <c r="CZ117" s="546"/>
      <c r="DA117" s="53"/>
      <c r="DB117" s="291"/>
      <c r="DC117" s="291"/>
      <c r="DD117" s="97"/>
      <c r="DE117" s="291"/>
      <c r="DF117" s="546"/>
      <c r="DG117" s="546"/>
      <c r="DH117" s="53"/>
      <c r="DI117" s="291"/>
      <c r="DJ117" s="291"/>
      <c r="DK117" s="97"/>
      <c r="DL117" s="291"/>
      <c r="DM117" s="546"/>
      <c r="DN117" s="546"/>
    </row>
    <row r="118" spans="1:118" ht="51">
      <c r="A118" s="19"/>
      <c r="B118" s="533"/>
      <c r="C118" s="527"/>
      <c r="D118" s="306" t="s">
        <v>458</v>
      </c>
      <c r="E118" s="432">
        <v>5.0000000000000001E-3</v>
      </c>
      <c r="F118" s="187" t="s">
        <v>90</v>
      </c>
      <c r="G118" s="136" t="s">
        <v>276</v>
      </c>
      <c r="H118" s="136" t="s">
        <v>277</v>
      </c>
      <c r="I118" s="136" t="s">
        <v>459</v>
      </c>
      <c r="J118" s="385" t="s">
        <v>460</v>
      </c>
      <c r="K118" s="207">
        <v>44713</v>
      </c>
      <c r="L118" s="156">
        <v>47848</v>
      </c>
      <c r="M118" s="193" t="s">
        <v>97</v>
      </c>
      <c r="N118" s="136" t="s">
        <v>1247</v>
      </c>
      <c r="O118" s="136" t="s">
        <v>1248</v>
      </c>
      <c r="P118" s="136" t="s">
        <v>125</v>
      </c>
      <c r="Q118" s="201">
        <v>0.88</v>
      </c>
      <c r="R118" s="216">
        <v>2021</v>
      </c>
      <c r="S118" s="201">
        <v>0.9</v>
      </c>
      <c r="T118" s="201">
        <v>0.9</v>
      </c>
      <c r="U118" s="201">
        <v>0.9</v>
      </c>
      <c r="V118" s="203">
        <v>0.9</v>
      </c>
      <c r="W118" s="203">
        <v>0.9</v>
      </c>
      <c r="X118" s="203">
        <v>0.9</v>
      </c>
      <c r="Y118" s="203">
        <v>0.9</v>
      </c>
      <c r="Z118" s="203">
        <v>0.9</v>
      </c>
      <c r="AA118" s="203">
        <v>0.9</v>
      </c>
      <c r="AB118" s="203">
        <v>0.9</v>
      </c>
      <c r="AC118" s="328">
        <v>43</v>
      </c>
      <c r="AD118" s="328">
        <v>45</v>
      </c>
      <c r="AE118" s="328">
        <v>46</v>
      </c>
      <c r="AF118" s="328">
        <v>47.38</v>
      </c>
      <c r="AG118" s="328">
        <v>48.801400000000001</v>
      </c>
      <c r="AH118" s="328">
        <v>50.265442</v>
      </c>
      <c r="AI118" s="328">
        <v>51.773405260000004</v>
      </c>
      <c r="AJ118" s="328">
        <v>53.326607417800005</v>
      </c>
      <c r="AK118" s="328">
        <v>54.926405640334004</v>
      </c>
      <c r="AL118" s="454">
        <f t="shared" si="46"/>
        <v>440.47326031813401</v>
      </c>
      <c r="AM118" s="190">
        <v>43</v>
      </c>
      <c r="AN118" s="194" t="s">
        <v>126</v>
      </c>
      <c r="AO118" s="190"/>
      <c r="AP118" s="194"/>
      <c r="AQ118" s="234">
        <v>45</v>
      </c>
      <c r="AR118" s="234" t="s">
        <v>126</v>
      </c>
      <c r="AS118" s="136" t="s">
        <v>81</v>
      </c>
      <c r="AT118" s="136" t="s">
        <v>81</v>
      </c>
      <c r="AU118" s="234">
        <v>46</v>
      </c>
      <c r="AV118" s="234" t="s">
        <v>126</v>
      </c>
      <c r="AW118" s="136" t="s">
        <v>81</v>
      </c>
      <c r="AX118" s="136" t="s">
        <v>81</v>
      </c>
      <c r="AY118" s="234">
        <v>47.38</v>
      </c>
      <c r="AZ118" s="234" t="s">
        <v>126</v>
      </c>
      <c r="BA118" s="202"/>
      <c r="BB118" s="202"/>
      <c r="BC118" s="234">
        <v>48.801400000000001</v>
      </c>
      <c r="BD118" s="234" t="s">
        <v>126</v>
      </c>
      <c r="BE118" s="202"/>
      <c r="BF118" s="202"/>
      <c r="BG118" s="234">
        <v>50.265442</v>
      </c>
      <c r="BH118" s="234" t="s">
        <v>126</v>
      </c>
      <c r="BI118" s="202"/>
      <c r="BJ118" s="202"/>
      <c r="BK118" s="234">
        <v>51.773405260000004</v>
      </c>
      <c r="BL118" s="234" t="s">
        <v>126</v>
      </c>
      <c r="BM118" s="202"/>
      <c r="BN118" s="202"/>
      <c r="BO118" s="234">
        <v>53.326607417800005</v>
      </c>
      <c r="BP118" s="234" t="s">
        <v>126</v>
      </c>
      <c r="BQ118" s="202"/>
      <c r="BR118" s="202"/>
      <c r="BS118" s="234">
        <v>54.926405640334004</v>
      </c>
      <c r="BT118" s="234" t="s">
        <v>126</v>
      </c>
      <c r="BU118" s="202"/>
      <c r="BV118" s="202"/>
      <c r="BW118" s="97">
        <f t="shared" si="47"/>
        <v>440.47326031813401</v>
      </c>
      <c r="BX118" s="384"/>
      <c r="BY118" s="53"/>
      <c r="BZ118" s="291"/>
      <c r="CA118" s="291"/>
      <c r="CB118" s="97"/>
      <c r="CC118" s="291"/>
      <c r="CD118" s="546"/>
      <c r="CE118" s="546"/>
      <c r="CF118" s="53"/>
      <c r="CG118" s="291"/>
      <c r="CH118" s="291"/>
      <c r="CI118" s="97"/>
      <c r="CJ118" s="291"/>
      <c r="CK118" s="546"/>
      <c r="CL118" s="546"/>
      <c r="CM118" s="53"/>
      <c r="CN118" s="291"/>
      <c r="CO118" s="291"/>
      <c r="CP118" s="97"/>
      <c r="CQ118" s="291"/>
      <c r="CR118" s="546"/>
      <c r="CS118" s="546"/>
      <c r="CT118" s="53"/>
      <c r="CU118" s="291"/>
      <c r="CV118" s="291"/>
      <c r="CW118" s="97"/>
      <c r="CX118" s="291"/>
      <c r="CY118" s="546"/>
      <c r="CZ118" s="546"/>
      <c r="DA118" s="53"/>
      <c r="DB118" s="291"/>
      <c r="DC118" s="291"/>
      <c r="DD118" s="97"/>
      <c r="DE118" s="291"/>
      <c r="DF118" s="546"/>
      <c r="DG118" s="546"/>
      <c r="DH118" s="53"/>
      <c r="DI118" s="291"/>
      <c r="DJ118" s="291"/>
      <c r="DK118" s="97"/>
      <c r="DL118" s="291"/>
      <c r="DM118" s="546"/>
      <c r="DN118" s="546"/>
    </row>
    <row r="119" spans="1:118" ht="76.5">
      <c r="A119" s="19"/>
      <c r="B119" s="533"/>
      <c r="C119" s="527"/>
      <c r="D119" s="306" t="s">
        <v>461</v>
      </c>
      <c r="E119" s="432">
        <v>1.0999999999999999E-2</v>
      </c>
      <c r="F119" s="187" t="s">
        <v>90</v>
      </c>
      <c r="G119" s="187" t="s">
        <v>441</v>
      </c>
      <c r="H119" s="187" t="s">
        <v>406</v>
      </c>
      <c r="I119" s="187" t="s">
        <v>462</v>
      </c>
      <c r="J119" s="385" t="s">
        <v>463</v>
      </c>
      <c r="K119" s="207">
        <v>44713</v>
      </c>
      <c r="L119" s="156">
        <v>47848</v>
      </c>
      <c r="M119" s="193" t="s">
        <v>97</v>
      </c>
      <c r="N119" s="193" t="s">
        <v>464</v>
      </c>
      <c r="O119" s="193" t="s">
        <v>465</v>
      </c>
      <c r="P119" s="193" t="s">
        <v>87</v>
      </c>
      <c r="Q119" s="325">
        <v>0</v>
      </c>
      <c r="R119" s="216">
        <v>2022</v>
      </c>
      <c r="S119" s="243">
        <v>0.15</v>
      </c>
      <c r="T119" s="243">
        <v>0.3</v>
      </c>
      <c r="U119" s="243">
        <v>0.4</v>
      </c>
      <c r="V119" s="243">
        <v>0.5</v>
      </c>
      <c r="W119" s="243">
        <v>0.6</v>
      </c>
      <c r="X119" s="243">
        <v>0.7</v>
      </c>
      <c r="Y119" s="243">
        <v>0.8</v>
      </c>
      <c r="Z119" s="243">
        <v>0.9</v>
      </c>
      <c r="AA119" s="243">
        <v>1</v>
      </c>
      <c r="AB119" s="243">
        <v>1</v>
      </c>
      <c r="AC119" s="328">
        <v>40</v>
      </c>
      <c r="AD119" s="328">
        <v>60</v>
      </c>
      <c r="AE119" s="328">
        <v>61.8</v>
      </c>
      <c r="AF119" s="328">
        <v>63.654000000000003</v>
      </c>
      <c r="AG119" s="328">
        <v>65.56362</v>
      </c>
      <c r="AH119" s="328">
        <v>67.530528599999997</v>
      </c>
      <c r="AI119" s="328">
        <v>69.556444458000001</v>
      </c>
      <c r="AJ119" s="328">
        <v>71.643137791740003</v>
      </c>
      <c r="AK119" s="328">
        <v>73.792431925492195</v>
      </c>
      <c r="AL119" s="454">
        <f t="shared" si="46"/>
        <v>573.54016277523215</v>
      </c>
      <c r="AM119" s="214">
        <v>40</v>
      </c>
      <c r="AN119" s="194" t="s">
        <v>126</v>
      </c>
      <c r="AO119" s="214"/>
      <c r="AP119" s="194"/>
      <c r="AQ119" s="214">
        <v>60</v>
      </c>
      <c r="AR119" s="194" t="s">
        <v>126</v>
      </c>
      <c r="AS119" s="214"/>
      <c r="AT119" s="194"/>
      <c r="AU119" s="214">
        <v>61.8</v>
      </c>
      <c r="AV119" s="194" t="s">
        <v>126</v>
      </c>
      <c r="AW119" s="214"/>
      <c r="AX119" s="194"/>
      <c r="AY119" s="214">
        <v>63.654000000000003</v>
      </c>
      <c r="AZ119" s="194" t="s">
        <v>126</v>
      </c>
      <c r="BA119" s="214"/>
      <c r="BB119" s="194"/>
      <c r="BC119" s="214">
        <v>65.56362</v>
      </c>
      <c r="BD119" s="194" t="s">
        <v>126</v>
      </c>
      <c r="BE119" s="214"/>
      <c r="BF119" s="194"/>
      <c r="BG119" s="214">
        <v>67.530528599999997</v>
      </c>
      <c r="BH119" s="194" t="s">
        <v>126</v>
      </c>
      <c r="BI119" s="214"/>
      <c r="BJ119" s="194"/>
      <c r="BK119" s="214">
        <v>69.556444458000001</v>
      </c>
      <c r="BL119" s="194" t="s">
        <v>126</v>
      </c>
      <c r="BM119" s="214"/>
      <c r="BN119" s="194"/>
      <c r="BO119" s="214">
        <v>71.643137791740003</v>
      </c>
      <c r="BP119" s="194" t="s">
        <v>126</v>
      </c>
      <c r="BQ119" s="214"/>
      <c r="BR119" s="194"/>
      <c r="BS119" s="214">
        <v>73.792431925492195</v>
      </c>
      <c r="BT119" s="194" t="s">
        <v>126</v>
      </c>
      <c r="BU119" s="214"/>
      <c r="BV119" s="194"/>
      <c r="BW119" s="97">
        <f t="shared" si="47"/>
        <v>573.54016277523215</v>
      </c>
      <c r="BX119" s="384"/>
      <c r="BY119" s="53"/>
      <c r="BZ119" s="291"/>
      <c r="CA119" s="291"/>
      <c r="CB119" s="97"/>
      <c r="CC119" s="291"/>
      <c r="CD119" s="546"/>
      <c r="CE119" s="546"/>
      <c r="CF119" s="53"/>
      <c r="CG119" s="291"/>
      <c r="CH119" s="291"/>
      <c r="CI119" s="97"/>
      <c r="CJ119" s="291"/>
      <c r="CK119" s="546"/>
      <c r="CL119" s="546"/>
      <c r="CM119" s="53"/>
      <c r="CN119" s="291"/>
      <c r="CO119" s="291"/>
      <c r="CP119" s="97"/>
      <c r="CQ119" s="291"/>
      <c r="CR119" s="546"/>
      <c r="CS119" s="546"/>
      <c r="CT119" s="53"/>
      <c r="CU119" s="291"/>
      <c r="CV119" s="291"/>
      <c r="CW119" s="97"/>
      <c r="CX119" s="291"/>
      <c r="CY119" s="546"/>
      <c r="CZ119" s="546"/>
      <c r="DA119" s="53"/>
      <c r="DB119" s="291"/>
      <c r="DC119" s="291"/>
      <c r="DD119" s="97"/>
      <c r="DE119" s="291"/>
      <c r="DF119" s="546"/>
      <c r="DG119" s="546"/>
      <c r="DH119" s="53"/>
      <c r="DI119" s="291"/>
      <c r="DJ119" s="291"/>
      <c r="DK119" s="97"/>
      <c r="DL119" s="291"/>
      <c r="DM119" s="546"/>
      <c r="DN119" s="546"/>
    </row>
    <row r="120" spans="1:118" ht="178.5">
      <c r="A120" s="19"/>
      <c r="B120" s="526" t="s">
        <v>976</v>
      </c>
      <c r="C120" s="527">
        <v>0.12</v>
      </c>
      <c r="D120" s="281" t="s">
        <v>1249</v>
      </c>
      <c r="E120" s="432">
        <v>5.0000000000000001E-3</v>
      </c>
      <c r="F120" s="187" t="s">
        <v>466</v>
      </c>
      <c r="G120" s="320" t="s">
        <v>467</v>
      </c>
      <c r="H120" s="320" t="s">
        <v>1031</v>
      </c>
      <c r="I120" s="320" t="s">
        <v>1032</v>
      </c>
      <c r="J120" s="385" t="s">
        <v>1033</v>
      </c>
      <c r="K120" s="207">
        <v>44713</v>
      </c>
      <c r="L120" s="156">
        <v>47848</v>
      </c>
      <c r="M120" s="204" t="s">
        <v>97</v>
      </c>
      <c r="N120" s="204" t="s">
        <v>1250</v>
      </c>
      <c r="O120" s="204" t="s">
        <v>1251</v>
      </c>
      <c r="P120" s="204" t="s">
        <v>87</v>
      </c>
      <c r="Q120" s="325">
        <v>0</v>
      </c>
      <c r="R120" s="206">
        <v>2022</v>
      </c>
      <c r="S120" s="203">
        <v>0.1</v>
      </c>
      <c r="T120" s="203">
        <v>0.2</v>
      </c>
      <c r="U120" s="203">
        <v>0.3</v>
      </c>
      <c r="V120" s="203">
        <v>0.4</v>
      </c>
      <c r="W120" s="203">
        <v>0.5</v>
      </c>
      <c r="X120" s="203">
        <v>0.6</v>
      </c>
      <c r="Y120" s="203">
        <v>0.7</v>
      </c>
      <c r="Z120" s="203">
        <v>0.9</v>
      </c>
      <c r="AA120" s="203">
        <v>1</v>
      </c>
      <c r="AB120" s="203">
        <v>1</v>
      </c>
      <c r="AC120" s="328">
        <v>69.06</v>
      </c>
      <c r="AD120" s="328">
        <v>69.06</v>
      </c>
      <c r="AE120" s="328">
        <v>69.06</v>
      </c>
      <c r="AF120" s="328">
        <v>69.06</v>
      </c>
      <c r="AG120" s="328">
        <v>69.06</v>
      </c>
      <c r="AH120" s="328">
        <v>69.06</v>
      </c>
      <c r="AI120" s="328">
        <v>69.06</v>
      </c>
      <c r="AJ120" s="328">
        <v>69.06</v>
      </c>
      <c r="AK120" s="328">
        <v>69.06</v>
      </c>
      <c r="AL120" s="454">
        <f t="shared" si="46"/>
        <v>621.54</v>
      </c>
      <c r="AM120" s="190">
        <v>69.06</v>
      </c>
      <c r="AN120" s="194" t="s">
        <v>468</v>
      </c>
      <c r="AO120" s="190"/>
      <c r="AP120" s="194"/>
      <c r="AQ120" s="190">
        <v>69.06</v>
      </c>
      <c r="AR120" s="194" t="s">
        <v>468</v>
      </c>
      <c r="AS120" s="190"/>
      <c r="AT120" s="194"/>
      <c r="AU120" s="190">
        <v>69.06</v>
      </c>
      <c r="AV120" s="194" t="s">
        <v>468</v>
      </c>
      <c r="AW120" s="321"/>
      <c r="AX120" s="194"/>
      <c r="AY120" s="190">
        <v>69.06</v>
      </c>
      <c r="AZ120" s="194" t="s">
        <v>468</v>
      </c>
      <c r="BA120" s="321"/>
      <c r="BB120" s="194"/>
      <c r="BC120" s="190">
        <v>69.06</v>
      </c>
      <c r="BD120" s="194" t="s">
        <v>468</v>
      </c>
      <c r="BE120" s="321"/>
      <c r="BF120" s="194"/>
      <c r="BG120" s="190">
        <v>69.06</v>
      </c>
      <c r="BH120" s="194" t="s">
        <v>468</v>
      </c>
      <c r="BI120" s="321"/>
      <c r="BJ120" s="194"/>
      <c r="BK120" s="190">
        <v>69.06</v>
      </c>
      <c r="BL120" s="194" t="s">
        <v>468</v>
      </c>
      <c r="BM120" s="321"/>
      <c r="BN120" s="194"/>
      <c r="BO120" s="190">
        <v>69.06</v>
      </c>
      <c r="BP120" s="194" t="s">
        <v>468</v>
      </c>
      <c r="BQ120" s="321"/>
      <c r="BR120" s="194"/>
      <c r="BS120" s="190">
        <v>69.06</v>
      </c>
      <c r="BT120" s="194" t="s">
        <v>468</v>
      </c>
      <c r="BU120" s="190"/>
      <c r="BV120" s="194"/>
      <c r="BW120" s="97">
        <f t="shared" si="47"/>
        <v>621.54</v>
      </c>
      <c r="BX120" s="384" t="s">
        <v>411</v>
      </c>
      <c r="BY120" s="53"/>
      <c r="BZ120" s="291" t="str">
        <f>IF(BY120="","",IF(IF(OR(P120=[10]Desplegables!$B$5,P120=[10]Desplegables!$B$6,),(Q120-BY120)/(Q120-S120),BY120/S120)&lt;0,0%,IF(IF(OR(P120=[10]Desplegables!$B$5,P120=[10]Desplegables!$B$6,),(Q120-BY120)/(Q120-S120),BY120/S120)&gt;1,100%,IF(OR(P120=[10]Desplegables!$B$5,P120=[10]Desplegables!$B$6,),(Q120-BY120)/(Q120-S120),BY120/S120))))</f>
        <v/>
      </c>
      <c r="CA120" s="291" t="str">
        <f>IF(BY120="","",IF(IF(OR(P120=[10]Desplegables!$B$5,P120=[10]Desplegables!$B$6,),(Q120-BY120)/(Q120-AB120),BY120/AB120)&lt;0,0%,IF(IF(OR(P120=[10]Desplegables!$B$5,P120=[10]Desplegables!$B$6,),(Q120-BY120)/(Q120-AB120),BY120/AB120)&gt;1,100%,IF(OR(P120=[10]Desplegables!$B$5,P120=[10]Desplegables!$B$6,),(Q120-BY120)/(Q120-AB120),BY120/AB120))))</f>
        <v/>
      </c>
      <c r="CB120" s="97"/>
      <c r="CC120" s="291" t="str">
        <f t="shared" ref="CC120" si="77">IF(CB120="","",IF(CB120/SUM(AM120,AO120)&gt;1,100%,CB120/SUM(AM120,AO120)))</f>
        <v/>
      </c>
      <c r="CD120" s="546"/>
      <c r="CE120" s="546"/>
      <c r="CF120" s="53"/>
      <c r="CG120" s="291" t="str">
        <f>IF(CF120="","",IF(IF(OR(P120=[10]Desplegables!$B$5,P120=[10]Desplegables!$B$6,),(Q120-CF120)/(Q120-S120),CF120/S120)&lt;0,0%,IF(IF(OR(P120=[10]Desplegables!$B$5,P120=[10]Desplegables!$B$6,),(Q120-CF120)/(Q120-S120),CF120/S120)&gt;1,100%,IF(OR(P120=[10]Desplegables!$B$5,P120=[10]Desplegables!$B$6,),(Q120-CF120)/(Q120-S120),CF120/S120))))</f>
        <v/>
      </c>
      <c r="CH120" s="291" t="str">
        <f>IF(CF120="","",IF(IF(OR(P120=[10]Desplegables!$B$5,P120=[10]Desplegables!$B$6,),(Q120-CF120)/(Q120-AB120),CF120/AB120)&lt;0,0%,IF(IF(OR(P120=[10]Desplegables!$B$5,P120=[10]Desplegables!$B$6,),(Q120-CF120)/(Q120-AB120),CF120/AB120)&gt;1,100%,IF(OR(P120=[10]Desplegables!$B$5,P120=[10]Desplegables!$B$6,),(Q120-CF120)/(Q120-AB120),CF120/AB120))))</f>
        <v/>
      </c>
      <c r="CI120" s="97"/>
      <c r="CJ120" s="291" t="str">
        <f t="shared" ref="CJ120" si="78">IF(SUM(CB120,CI120)=0,"",IF(SUM(CB120,CI120)/SUM(AM120,AO120)&gt;1,100%,SUM(CB120,CI120)/SUM(AM120,AO120)))</f>
        <v/>
      </c>
      <c r="CK120" s="546"/>
      <c r="CL120" s="546"/>
      <c r="CM120" s="53"/>
      <c r="CN120" s="291" t="str">
        <f>IF(CM120="","",IF(IF(OR(P120=[10]Desplegables!$B$5,P120=[10]Desplegables!$B$6,),(Q120-CM120)/(Q120-T120),CM120/T120)&lt;0,0%,IF(IF(OR(P120=[10]Desplegables!$B$5,P120=[10]Desplegables!$B$6,),(Q120-CM120)/(Q120-T120),CM120/T120)&gt;1,100%,IF(OR(P120=[10]Desplegables!$B$5,P120=[10]Desplegables!$B$6,),(Q120-CM120)/(Q120-T120),CM120/T120))))</f>
        <v/>
      </c>
      <c r="CO120" s="291" t="str">
        <f>IF(CM120="","",IF(IF(OR(P120=[10]Desplegables!$B$5,P120=[10]Desplegables!$B$6,),(Q120-CM120)/(Q120-AB120),IF(P120=[10]Desplegables!$B$3,AVERAGE(CM120,CF120)/AB120,CM120/AB120))&lt;0,0%,IF(IF(OR(P120=[10]Desplegables!$B$5,P120=[10]Desplegables!$B$6,),(Q120-CM120)/(Q120-AB120),IF(P120=[10]Desplegables!$B$3,AVERAGE(CM120,CF120)/AB120,CM120/AB120))&gt;1,100%,IF(OR(P120=[10]Desplegables!$B$5,P120=[10]Desplegables!$B$6,),(Q120-CM120)/(Q120-AB120),IF(P120=[10]Desplegables!$B$3,AVERAGE(CM120,CF120)/AB120,CM120/AB120)))))</f>
        <v/>
      </c>
      <c r="CP120" s="97"/>
      <c r="CQ120" s="291" t="str">
        <f t="shared" ref="CQ120" si="79">IF(CP120="","",IF(CP120/SUM(AQ120,AS120)&gt;1,100%,CP120/SUM(AQ120,AS120)))</f>
        <v/>
      </c>
      <c r="CR120" s="546"/>
      <c r="CS120" s="546"/>
      <c r="CT120" s="53"/>
      <c r="CU120" s="291" t="str">
        <f>IF(CT120="","",IF(IF(OR(P120=[10]Desplegables!$B$5,P120=[10]Desplegables!$B$6,),(Q120-CT120)/(Q120-T120),CT120/T120)&lt;0,0%,IF(IF(OR(P120=[10]Desplegables!$B$5,P120=[10]Desplegables!$B$6,),(Q120-CT120)/(Q120-T120),CT120/T120)&gt;1,100%,IF(OR(P120=[10]Desplegables!$B$5,P120=[10]Desplegables!$B$6,),(Q120-CT120)/(Q120-T120),CT120/T120))))</f>
        <v/>
      </c>
      <c r="CV120" s="291" t="str">
        <f>IF(CT120="","",IF(IF(OR(P120=[10]Desplegables!$B$5,P120=[10]Desplegables!$B$6,),(Q120-CT120)/(Q120-AB120),IF(P120=[10]Desplegables!$B$3,AVERAGE(CT120,CF120)/AB120,CT120/AB120))&lt;0,0%,IF(IF(OR(P120=[10]Desplegables!$B$5,P120=[10]Desplegables!$B$6,),(Q120-CT120)/(Q120-AB120),IF(P120=[10]Desplegables!$B$3,AVERAGE(CT120,CF120)/AB120,CT120/AB120))&gt;1,100%,IF(OR(P120=[10]Desplegables!$B$5,P120=[10]Desplegables!$B$6,),(Q120-CT120)/(Q120-AB120),IF(P120=[10]Desplegables!$B$3,AVERAGE(CT120,CF120)/AB120,CT120/AB120)))))</f>
        <v/>
      </c>
      <c r="CW120" s="97"/>
      <c r="CX120" s="291" t="str">
        <f t="shared" ref="CX120" si="80">IF(SUM(CP120,CW120)=0,"",IF(SUM(CP120,CW120)/SUM(AQ120,AS120)&gt;1,100%,SUM(CP120,CW120)/SUM(AQ120,AS120)))</f>
        <v/>
      </c>
      <c r="CY120" s="546"/>
      <c r="CZ120" s="546"/>
      <c r="DA120" s="53"/>
      <c r="DB120" s="291" t="str">
        <f>IF(DA120="","",IF(IF(OR(P120=[10]Desplegables!$B$5,P120=[10]Desplegables!$B$6,),(Q120-DA120)/(Q120-AB120),IF(P120=[10]Desplegables!$B$3,DA120/U120,DA120/AB120))&lt;0,0%,IF(IF(OR(P120=[10]Desplegables!$B$5,P120=[10]Desplegables!$B$6,),(Q120-DA120)/(Q120-AB120),IF(P120=[10]Desplegables!$B$3,DA120/U120,DA120/AB120))&gt;1,100%,IF(OR(P120=[10]Desplegables!$B$5,P120=[10]Desplegables!$B$6,),(Q120-DA120)/(Q120-AB120),IF(P120=[10]Desplegables!$B$3,DA120/U120,DA120/AB120)))))</f>
        <v/>
      </c>
      <c r="DC120" s="291" t="str">
        <f>IF(DA120="","",IF(IF(OR(P120=[10]Desplegables!$B$5,P120=[10]Desplegables!$B$6,),(Q120-DA120)/(Q120-AB120),IF(P120=[10]Desplegables!$B$3,AVERAGE(DA120,CT120,CF120)/AB120,DA120/AB120))&lt;0,0%,IF(IF(OR(P120=[10]Desplegables!$B$5,P120=[10]Desplegables!$B$6,),(Q120-DA120)/(Q120-AB120),IF(P120=[10]Desplegables!$B$3,AVERAGE(DA120,CT120,CF120)/AB120,DA120/AB120))&gt;1,100%,IF(OR(P120=[10]Desplegables!$B$5,P120=[10]Desplegables!$B$6,),(Q120-DA120)/(Q120-AB120),IF(P120=[10]Desplegables!$B$3,AVERAGE(DA120,CT120,CF120)/AB120,DA120/AB120)))))</f>
        <v/>
      </c>
      <c r="DD120" s="97"/>
      <c r="DE120" s="291" t="str">
        <f t="shared" ref="DE120" si="81">IF(DD120="","",IF(DD120/SUM(BS120,BU120)&gt;1,100%,DD120/SUM(BS120,BU120)))</f>
        <v/>
      </c>
      <c r="DF120" s="546"/>
      <c r="DG120" s="546"/>
      <c r="DH120" s="53"/>
      <c r="DI120" s="291" t="str">
        <f>IF(DH120="","",IF(IF(OR(P120=[10]Desplegables!$B$5,P120=[10]Desplegables!$B$6,),(Q120-DH120)/(Q120-AB120),IF(P120=[10]Desplegables!$B$3,DH120/U120,DH120/AB120))&lt;0,0%,IF(IF(OR(P120=[10]Desplegables!$B$5,P120=[10]Desplegables!$B$6,),(Q120-DH120)/(Q120-AB120),IF(P120=[10]Desplegables!$B$3,DH120/U120,DH120/AB120))&gt;1,100%,IF(OR(P120=[10]Desplegables!$B$5,P120=[10]Desplegables!$B$6,),(Q120-DH120)/(Q120-AB120),IF(P120=[10]Desplegables!$B$3,DH120/U120,DH120/AB120)))))</f>
        <v/>
      </c>
      <c r="DJ120" s="291" t="str">
        <f>IF(DH120="","",IF(IF(OR(P120=[10]Desplegables!$B$5,P120=[10]Desplegables!$B$6,),(Q120-DH120)/(Q120-AB120),IF(P120=[10]Desplegables!$B$3,AVERAGE(DH120,CT120,CF120)/AB120,DH120/AB120))&lt;0,0%,IF(IF(OR(P120=[10]Desplegables!$B$5,P120=[10]Desplegables!$B$6,),(Q120-DH120)/(Q120-AB120),IF(P120=[10]Desplegables!$B$3,AVERAGE(DH120,CT120,CF120)/AB120,DH120/AB120))&gt;1,100%,IF(OR(P120=[10]Desplegables!$B$5,P120=[10]Desplegables!$B$6,),(Q120-DH120)/(Q120-AB120),IF(P120=[10]Desplegables!$B$3,AVERAGE(DH120,CT120,CF120)/AB120,DH120/AB120)))))</f>
        <v/>
      </c>
      <c r="DK120" s="97"/>
      <c r="DL120" s="291" t="str">
        <f t="shared" ref="DL120" si="82">IF(SUM(DD120,DK120)=0,"",IF(SUM(DD120,DK120)/SUM(BS120,BU120)&gt;1,100%,SUM(DD120,DK120)/SUM(BS120,BU120)))</f>
        <v/>
      </c>
      <c r="DM120" s="546"/>
      <c r="DN120" s="546"/>
    </row>
    <row r="121" spans="1:118" ht="89.25">
      <c r="A121" s="19"/>
      <c r="B121" s="526"/>
      <c r="C121" s="527"/>
      <c r="D121" s="233" t="s">
        <v>1252</v>
      </c>
      <c r="E121" s="432">
        <v>8.9999999999999993E-3</v>
      </c>
      <c r="F121" s="187" t="s">
        <v>90</v>
      </c>
      <c r="G121" s="320" t="s">
        <v>469</v>
      </c>
      <c r="H121" s="320" t="s">
        <v>470</v>
      </c>
      <c r="I121" s="320" t="s">
        <v>471</v>
      </c>
      <c r="J121" s="385" t="s">
        <v>472</v>
      </c>
      <c r="K121" s="207">
        <v>44713</v>
      </c>
      <c r="L121" s="276">
        <v>45229</v>
      </c>
      <c r="M121" s="204" t="s">
        <v>97</v>
      </c>
      <c r="N121" s="204" t="s">
        <v>1253</v>
      </c>
      <c r="O121" s="204" t="s">
        <v>1254</v>
      </c>
      <c r="P121" s="204" t="s">
        <v>87</v>
      </c>
      <c r="Q121" s="325">
        <v>0</v>
      </c>
      <c r="R121" s="206">
        <v>2022</v>
      </c>
      <c r="S121" s="203">
        <v>0.3</v>
      </c>
      <c r="T121" s="203">
        <v>1</v>
      </c>
      <c r="U121" s="213"/>
      <c r="V121" s="213"/>
      <c r="W121" s="213"/>
      <c r="X121" s="213"/>
      <c r="Y121" s="213"/>
      <c r="Z121" s="213"/>
      <c r="AA121" s="213"/>
      <c r="AB121" s="203">
        <v>1</v>
      </c>
      <c r="AC121" s="328">
        <v>26.4</v>
      </c>
      <c r="AD121" s="328">
        <v>44</v>
      </c>
      <c r="AE121" s="328"/>
      <c r="AF121" s="328"/>
      <c r="AG121" s="328"/>
      <c r="AH121" s="328"/>
      <c r="AI121" s="328"/>
      <c r="AJ121" s="328"/>
      <c r="AK121" s="328"/>
      <c r="AL121" s="454">
        <f t="shared" si="46"/>
        <v>70.400000000000006</v>
      </c>
      <c r="AM121" s="190">
        <v>12.9</v>
      </c>
      <c r="AN121" s="194" t="s">
        <v>473</v>
      </c>
      <c r="AO121" s="190">
        <v>13.5</v>
      </c>
      <c r="AP121" s="194" t="s">
        <v>468</v>
      </c>
      <c r="AQ121" s="190">
        <v>21.5</v>
      </c>
      <c r="AR121" s="194" t="s">
        <v>473</v>
      </c>
      <c r="AS121" s="190">
        <v>22.5</v>
      </c>
      <c r="AT121" s="194" t="s">
        <v>468</v>
      </c>
      <c r="AU121" s="321"/>
      <c r="AV121" s="194"/>
      <c r="AW121" s="321"/>
      <c r="AX121" s="194"/>
      <c r="AY121" s="321"/>
      <c r="AZ121" s="194"/>
      <c r="BA121" s="321"/>
      <c r="BB121" s="194"/>
      <c r="BC121" s="321"/>
      <c r="BD121" s="194"/>
      <c r="BE121" s="321"/>
      <c r="BF121" s="194"/>
      <c r="BG121" s="321"/>
      <c r="BH121" s="194"/>
      <c r="BI121" s="321"/>
      <c r="BJ121" s="194"/>
      <c r="BK121" s="321"/>
      <c r="BL121" s="194"/>
      <c r="BM121" s="321"/>
      <c r="BN121" s="194"/>
      <c r="BO121" s="321"/>
      <c r="BP121" s="194"/>
      <c r="BQ121" s="321"/>
      <c r="BR121" s="194"/>
      <c r="BS121" s="190"/>
      <c r="BT121" s="194"/>
      <c r="BU121" s="190"/>
      <c r="BV121" s="194"/>
      <c r="BW121" s="97">
        <f t="shared" si="47"/>
        <v>70.400000000000006</v>
      </c>
      <c r="BX121" s="384"/>
      <c r="BY121" s="53"/>
      <c r="BZ121" s="291"/>
      <c r="CA121" s="291"/>
      <c r="CB121" s="97"/>
      <c r="CC121" s="291"/>
      <c r="CD121" s="546"/>
      <c r="CE121" s="546"/>
      <c r="CF121" s="53"/>
      <c r="CG121" s="291"/>
      <c r="CH121" s="291"/>
      <c r="CI121" s="97"/>
      <c r="CJ121" s="291"/>
      <c r="CK121" s="546"/>
      <c r="CL121" s="546"/>
      <c r="CM121" s="53"/>
      <c r="CN121" s="291"/>
      <c r="CO121" s="291"/>
      <c r="CP121" s="97"/>
      <c r="CQ121" s="291"/>
      <c r="CR121" s="546"/>
      <c r="CS121" s="546"/>
      <c r="CT121" s="53"/>
      <c r="CU121" s="291"/>
      <c r="CV121" s="291"/>
      <c r="CW121" s="97"/>
      <c r="CX121" s="291"/>
      <c r="CY121" s="546"/>
      <c r="CZ121" s="546"/>
      <c r="DA121" s="53"/>
      <c r="DB121" s="291"/>
      <c r="DC121" s="291"/>
      <c r="DD121" s="97"/>
      <c r="DE121" s="291"/>
      <c r="DF121" s="546"/>
      <c r="DG121" s="546"/>
      <c r="DH121" s="53"/>
      <c r="DI121" s="291"/>
      <c r="DJ121" s="291"/>
      <c r="DK121" s="97"/>
      <c r="DL121" s="291"/>
      <c r="DM121" s="546"/>
      <c r="DN121" s="546"/>
    </row>
    <row r="122" spans="1:118" ht="140.25">
      <c r="A122" s="19"/>
      <c r="B122" s="526"/>
      <c r="C122" s="527"/>
      <c r="D122" s="233" t="s">
        <v>474</v>
      </c>
      <c r="E122" s="432">
        <v>0.01</v>
      </c>
      <c r="F122" s="187" t="s">
        <v>475</v>
      </c>
      <c r="G122" s="136" t="s">
        <v>469</v>
      </c>
      <c r="H122" s="320" t="s">
        <v>470</v>
      </c>
      <c r="I122" s="320" t="s">
        <v>471</v>
      </c>
      <c r="J122" s="385" t="s">
        <v>472</v>
      </c>
      <c r="K122" s="207">
        <v>44927</v>
      </c>
      <c r="L122" s="156">
        <v>47848</v>
      </c>
      <c r="M122" s="204" t="s">
        <v>97</v>
      </c>
      <c r="N122" s="136" t="s">
        <v>476</v>
      </c>
      <c r="O122" s="136" t="s">
        <v>477</v>
      </c>
      <c r="P122" s="204" t="s">
        <v>87</v>
      </c>
      <c r="Q122" s="325">
        <v>0</v>
      </c>
      <c r="R122" s="206">
        <v>2022</v>
      </c>
      <c r="S122" s="282"/>
      <c r="T122" s="282">
        <v>0.125</v>
      </c>
      <c r="U122" s="282">
        <v>0.25</v>
      </c>
      <c r="V122" s="282">
        <v>0.375</v>
      </c>
      <c r="W122" s="282">
        <v>0.5</v>
      </c>
      <c r="X122" s="282">
        <v>0.625</v>
      </c>
      <c r="Y122" s="282">
        <v>0.75</v>
      </c>
      <c r="Z122" s="282">
        <v>0.875</v>
      </c>
      <c r="AA122" s="282">
        <v>1</v>
      </c>
      <c r="AB122" s="203">
        <v>1</v>
      </c>
      <c r="AC122" s="328"/>
      <c r="AD122" s="330">
        <v>3500</v>
      </c>
      <c r="AE122" s="330">
        <v>3500</v>
      </c>
      <c r="AF122" s="330">
        <v>3500</v>
      </c>
      <c r="AG122" s="330">
        <v>3500</v>
      </c>
      <c r="AH122" s="330">
        <v>3500</v>
      </c>
      <c r="AI122" s="330">
        <v>3500</v>
      </c>
      <c r="AJ122" s="330">
        <v>3500</v>
      </c>
      <c r="AK122" s="330">
        <v>3500</v>
      </c>
      <c r="AL122" s="454">
        <f t="shared" si="46"/>
        <v>28000</v>
      </c>
      <c r="AM122" s="190"/>
      <c r="AN122" s="194"/>
      <c r="AO122" s="190"/>
      <c r="AP122" s="194"/>
      <c r="AQ122" s="283">
        <v>3500</v>
      </c>
      <c r="AR122" s="127" t="s">
        <v>80</v>
      </c>
      <c r="AS122" s="202"/>
      <c r="AT122" s="202"/>
      <c r="AU122" s="283">
        <v>3500</v>
      </c>
      <c r="AV122" s="127" t="s">
        <v>80</v>
      </c>
      <c r="AW122" s="202"/>
      <c r="AX122" s="202"/>
      <c r="AY122" s="283">
        <v>3500</v>
      </c>
      <c r="AZ122" s="127" t="s">
        <v>80</v>
      </c>
      <c r="BA122" s="202"/>
      <c r="BB122" s="202"/>
      <c r="BC122" s="283">
        <v>3500</v>
      </c>
      <c r="BD122" s="127" t="s">
        <v>80</v>
      </c>
      <c r="BE122" s="202"/>
      <c r="BF122" s="202"/>
      <c r="BG122" s="283">
        <v>3500</v>
      </c>
      <c r="BH122" s="127" t="s">
        <v>80</v>
      </c>
      <c r="BI122" s="202"/>
      <c r="BJ122" s="202"/>
      <c r="BK122" s="283">
        <v>3500</v>
      </c>
      <c r="BL122" s="127" t="s">
        <v>80</v>
      </c>
      <c r="BM122" s="202"/>
      <c r="BN122" s="202"/>
      <c r="BO122" s="283">
        <v>3500</v>
      </c>
      <c r="BP122" s="127" t="s">
        <v>80</v>
      </c>
      <c r="BQ122" s="202"/>
      <c r="BR122" s="202"/>
      <c r="BS122" s="283">
        <v>3500</v>
      </c>
      <c r="BT122" s="127" t="s">
        <v>80</v>
      </c>
      <c r="BU122" s="202"/>
      <c r="BV122" s="202"/>
      <c r="BW122" s="97">
        <f t="shared" si="47"/>
        <v>28000</v>
      </c>
      <c r="BX122" s="384"/>
      <c r="BY122" s="53"/>
      <c r="BZ122" s="291"/>
      <c r="CA122" s="291"/>
      <c r="CB122" s="97"/>
      <c r="CC122" s="291"/>
      <c r="CD122" s="546"/>
      <c r="CE122" s="546"/>
      <c r="CF122" s="53"/>
      <c r="CG122" s="291"/>
      <c r="CH122" s="291"/>
      <c r="CI122" s="97"/>
      <c r="CJ122" s="291"/>
      <c r="CK122" s="546"/>
      <c r="CL122" s="546"/>
      <c r="CM122" s="53"/>
      <c r="CN122" s="291"/>
      <c r="CO122" s="291"/>
      <c r="CP122" s="97"/>
      <c r="CQ122" s="291"/>
      <c r="CR122" s="546"/>
      <c r="CS122" s="546"/>
      <c r="CT122" s="53"/>
      <c r="CU122" s="291"/>
      <c r="CV122" s="291"/>
      <c r="CW122" s="97"/>
      <c r="CX122" s="291"/>
      <c r="CY122" s="546"/>
      <c r="CZ122" s="546"/>
      <c r="DA122" s="53"/>
      <c r="DB122" s="291"/>
      <c r="DC122" s="291"/>
      <c r="DD122" s="97"/>
      <c r="DE122" s="291"/>
      <c r="DF122" s="546"/>
      <c r="DG122" s="546"/>
      <c r="DH122" s="53"/>
      <c r="DI122" s="291"/>
      <c r="DJ122" s="291"/>
      <c r="DK122" s="97"/>
      <c r="DL122" s="291"/>
      <c r="DM122" s="546"/>
      <c r="DN122" s="546"/>
    </row>
    <row r="123" spans="1:118" ht="127.5">
      <c r="A123" s="19"/>
      <c r="B123" s="526"/>
      <c r="C123" s="527"/>
      <c r="D123" s="233" t="s">
        <v>478</v>
      </c>
      <c r="E123" s="432">
        <v>7.0000000000000001E-3</v>
      </c>
      <c r="F123" s="187" t="s">
        <v>90</v>
      </c>
      <c r="G123" s="320" t="s">
        <v>479</v>
      </c>
      <c r="H123" s="187" t="s">
        <v>480</v>
      </c>
      <c r="I123" s="187" t="s">
        <v>481</v>
      </c>
      <c r="J123" s="385" t="s">
        <v>482</v>
      </c>
      <c r="K123" s="207">
        <v>44713</v>
      </c>
      <c r="L123" s="156">
        <v>47848</v>
      </c>
      <c r="M123" s="193" t="s">
        <v>97</v>
      </c>
      <c r="N123" s="193" t="s">
        <v>483</v>
      </c>
      <c r="O123" s="204" t="s">
        <v>484</v>
      </c>
      <c r="P123" s="193" t="s">
        <v>87</v>
      </c>
      <c r="Q123" s="203">
        <v>0</v>
      </c>
      <c r="R123" s="206">
        <v>2022</v>
      </c>
      <c r="S123" s="325">
        <v>0.16719999999999999</v>
      </c>
      <c r="T123" s="325">
        <v>0.53380000000000005</v>
      </c>
      <c r="U123" s="325">
        <v>0.60040000000000004</v>
      </c>
      <c r="V123" s="325">
        <v>0.66700000000000004</v>
      </c>
      <c r="W123" s="325">
        <v>0.73360000000000003</v>
      </c>
      <c r="X123" s="325">
        <v>0.80020000000000002</v>
      </c>
      <c r="Y123" s="325">
        <v>0.86680000000000001</v>
      </c>
      <c r="Z123" s="325">
        <v>0.93340000000000001</v>
      </c>
      <c r="AA123" s="325">
        <v>1</v>
      </c>
      <c r="AB123" s="325">
        <v>1</v>
      </c>
      <c r="AC123" s="328"/>
      <c r="AD123" s="328">
        <v>297</v>
      </c>
      <c r="AE123" s="328">
        <v>311.8</v>
      </c>
      <c r="AF123" s="328">
        <v>328</v>
      </c>
      <c r="AG123" s="328">
        <v>345</v>
      </c>
      <c r="AH123" s="328">
        <v>363</v>
      </c>
      <c r="AI123" s="328">
        <v>381</v>
      </c>
      <c r="AJ123" s="328">
        <v>400</v>
      </c>
      <c r="AK123" s="328">
        <v>420</v>
      </c>
      <c r="AL123" s="454">
        <f t="shared" si="46"/>
        <v>2845.8</v>
      </c>
      <c r="AM123" s="190"/>
      <c r="AN123" s="194" t="s">
        <v>378</v>
      </c>
      <c r="AO123" s="190"/>
      <c r="AP123" s="194"/>
      <c r="AQ123" s="190">
        <f>+AD123</f>
        <v>297</v>
      </c>
      <c r="AR123" s="194" t="s">
        <v>114</v>
      </c>
      <c r="AS123" s="190"/>
      <c r="AT123" s="194"/>
      <c r="AU123" s="321">
        <f>+AE123</f>
        <v>311.8</v>
      </c>
      <c r="AV123" s="194" t="s">
        <v>114</v>
      </c>
      <c r="AW123" s="321"/>
      <c r="AX123" s="194"/>
      <c r="AY123" s="190">
        <f>+AF123</f>
        <v>328</v>
      </c>
      <c r="AZ123" s="194" t="s">
        <v>114</v>
      </c>
      <c r="BA123" s="321"/>
      <c r="BB123" s="194"/>
      <c r="BC123" s="190">
        <f>+AG123</f>
        <v>345</v>
      </c>
      <c r="BD123" s="194" t="s">
        <v>114</v>
      </c>
      <c r="BE123" s="321"/>
      <c r="BF123" s="194"/>
      <c r="BG123" s="190">
        <f>+AH123</f>
        <v>363</v>
      </c>
      <c r="BH123" s="194" t="s">
        <v>114</v>
      </c>
      <c r="BI123" s="321"/>
      <c r="BJ123" s="194"/>
      <c r="BK123" s="190">
        <f>+AI123</f>
        <v>381</v>
      </c>
      <c r="BL123" s="194" t="s">
        <v>114</v>
      </c>
      <c r="BM123" s="321"/>
      <c r="BN123" s="194"/>
      <c r="BO123" s="190">
        <f>+AJ123</f>
        <v>400</v>
      </c>
      <c r="BP123" s="194" t="s">
        <v>114</v>
      </c>
      <c r="BQ123" s="321"/>
      <c r="BR123" s="194"/>
      <c r="BS123" s="190">
        <f>+AK123</f>
        <v>420</v>
      </c>
      <c r="BT123" s="194" t="s">
        <v>114</v>
      </c>
      <c r="BU123" s="190"/>
      <c r="BV123" s="194"/>
      <c r="BW123" s="97">
        <f t="shared" si="47"/>
        <v>2845.8</v>
      </c>
      <c r="BX123" s="384"/>
      <c r="BY123" s="53"/>
      <c r="BZ123" s="291"/>
      <c r="CA123" s="291"/>
      <c r="CB123" s="97"/>
      <c r="CC123" s="291"/>
      <c r="CD123" s="546"/>
      <c r="CE123" s="546"/>
      <c r="CF123" s="53"/>
      <c r="CG123" s="291"/>
      <c r="CH123" s="291"/>
      <c r="CI123" s="97"/>
      <c r="CJ123" s="291"/>
      <c r="CK123" s="546"/>
      <c r="CL123" s="546"/>
      <c r="CM123" s="53"/>
      <c r="CN123" s="291"/>
      <c r="CO123" s="291"/>
      <c r="CP123" s="97"/>
      <c r="CQ123" s="291"/>
      <c r="CR123" s="546"/>
      <c r="CS123" s="546"/>
      <c r="CT123" s="53"/>
      <c r="CU123" s="291"/>
      <c r="CV123" s="291"/>
      <c r="CW123" s="97"/>
      <c r="CX123" s="291"/>
      <c r="CY123" s="546"/>
      <c r="CZ123" s="546"/>
      <c r="DA123" s="53"/>
      <c r="DB123" s="291"/>
      <c r="DC123" s="291"/>
      <c r="DD123" s="97"/>
      <c r="DE123" s="291"/>
      <c r="DF123" s="546"/>
      <c r="DG123" s="546"/>
      <c r="DH123" s="53"/>
      <c r="DI123" s="291"/>
      <c r="DJ123" s="291"/>
      <c r="DK123" s="97"/>
      <c r="DL123" s="291"/>
      <c r="DM123" s="546"/>
      <c r="DN123" s="546"/>
    </row>
    <row r="124" spans="1:118" ht="140.25">
      <c r="A124" s="19"/>
      <c r="B124" s="526"/>
      <c r="C124" s="527"/>
      <c r="D124" s="233" t="s">
        <v>485</v>
      </c>
      <c r="E124" s="432">
        <v>5.0000000000000001E-3</v>
      </c>
      <c r="F124" s="187" t="s">
        <v>486</v>
      </c>
      <c r="G124" s="320" t="s">
        <v>469</v>
      </c>
      <c r="H124" s="320" t="s">
        <v>470</v>
      </c>
      <c r="I124" s="320" t="s">
        <v>471</v>
      </c>
      <c r="J124" s="385" t="s">
        <v>472</v>
      </c>
      <c r="K124" s="207">
        <v>45292</v>
      </c>
      <c r="L124" s="156">
        <v>47848</v>
      </c>
      <c r="M124" s="204" t="s">
        <v>97</v>
      </c>
      <c r="N124" s="193" t="s">
        <v>487</v>
      </c>
      <c r="O124" s="193" t="s">
        <v>488</v>
      </c>
      <c r="P124" s="204" t="s">
        <v>87</v>
      </c>
      <c r="Q124" s="325">
        <v>0</v>
      </c>
      <c r="R124" s="206">
        <v>2022</v>
      </c>
      <c r="S124" s="203"/>
      <c r="T124" s="203"/>
      <c r="U124" s="203">
        <v>0.3</v>
      </c>
      <c r="V124" s="203">
        <v>0.4</v>
      </c>
      <c r="W124" s="203">
        <v>0.5</v>
      </c>
      <c r="X124" s="203">
        <v>0.6</v>
      </c>
      <c r="Y124" s="203">
        <v>0.7</v>
      </c>
      <c r="Z124" s="203">
        <v>0.9</v>
      </c>
      <c r="AA124" s="203">
        <v>1</v>
      </c>
      <c r="AB124" s="203">
        <v>1</v>
      </c>
      <c r="AC124" s="328"/>
      <c r="AD124" s="328"/>
      <c r="AE124" s="328">
        <v>92</v>
      </c>
      <c r="AF124" s="328">
        <v>29.4</v>
      </c>
      <c r="AG124" s="328">
        <v>29.4</v>
      </c>
      <c r="AH124" s="328">
        <v>29.4</v>
      </c>
      <c r="AI124" s="328">
        <v>29.4</v>
      </c>
      <c r="AJ124" s="328">
        <v>29.4</v>
      </c>
      <c r="AK124" s="328">
        <v>29.4</v>
      </c>
      <c r="AL124" s="454">
        <f t="shared" si="46"/>
        <v>268.40000000000003</v>
      </c>
      <c r="AM124" s="190"/>
      <c r="AN124" s="194"/>
      <c r="AO124" s="190"/>
      <c r="AP124" s="194"/>
      <c r="AQ124" s="190"/>
      <c r="AR124" s="194"/>
      <c r="AS124" s="190"/>
      <c r="AT124" s="194"/>
      <c r="AU124" s="214">
        <v>64.5</v>
      </c>
      <c r="AV124" s="194" t="s">
        <v>473</v>
      </c>
      <c r="AW124" s="214">
        <v>27.5</v>
      </c>
      <c r="AX124" s="194" t="s">
        <v>468</v>
      </c>
      <c r="AY124" s="214">
        <v>12.9</v>
      </c>
      <c r="AZ124" s="194" t="s">
        <v>473</v>
      </c>
      <c r="BA124" s="214">
        <v>16.5</v>
      </c>
      <c r="BB124" s="194" t="s">
        <v>468</v>
      </c>
      <c r="BC124" s="214">
        <v>12.9</v>
      </c>
      <c r="BD124" s="194" t="s">
        <v>473</v>
      </c>
      <c r="BE124" s="214">
        <v>16.5</v>
      </c>
      <c r="BF124" s="194" t="s">
        <v>468</v>
      </c>
      <c r="BG124" s="214">
        <v>12.9</v>
      </c>
      <c r="BH124" s="194" t="s">
        <v>473</v>
      </c>
      <c r="BI124" s="214">
        <v>16.5</v>
      </c>
      <c r="BJ124" s="194" t="s">
        <v>468</v>
      </c>
      <c r="BK124" s="214">
        <v>12.9</v>
      </c>
      <c r="BL124" s="194" t="s">
        <v>473</v>
      </c>
      <c r="BM124" s="214">
        <v>16.5</v>
      </c>
      <c r="BN124" s="194" t="s">
        <v>468</v>
      </c>
      <c r="BO124" s="214">
        <v>12.9</v>
      </c>
      <c r="BP124" s="194" t="s">
        <v>473</v>
      </c>
      <c r="BQ124" s="214">
        <v>16.5</v>
      </c>
      <c r="BR124" s="194" t="s">
        <v>468</v>
      </c>
      <c r="BS124" s="214">
        <v>12.9</v>
      </c>
      <c r="BT124" s="194" t="s">
        <v>473</v>
      </c>
      <c r="BU124" s="190">
        <v>16.5</v>
      </c>
      <c r="BV124" s="194" t="s">
        <v>468</v>
      </c>
      <c r="BW124" s="97">
        <f t="shared" si="47"/>
        <v>268.40000000000003</v>
      </c>
      <c r="BX124" s="384"/>
      <c r="BY124" s="53"/>
      <c r="BZ124" s="291"/>
      <c r="CA124" s="291"/>
      <c r="CB124" s="97"/>
      <c r="CC124" s="291"/>
      <c r="CD124" s="546"/>
      <c r="CE124" s="546"/>
      <c r="CF124" s="53"/>
      <c r="CG124" s="291"/>
      <c r="CH124" s="291"/>
      <c r="CI124" s="97"/>
      <c r="CJ124" s="291"/>
      <c r="CK124" s="546"/>
      <c r="CL124" s="546"/>
      <c r="CM124" s="53"/>
      <c r="CN124" s="291"/>
      <c r="CO124" s="291"/>
      <c r="CP124" s="97"/>
      <c r="CQ124" s="291"/>
      <c r="CR124" s="546"/>
      <c r="CS124" s="546"/>
      <c r="CT124" s="53"/>
      <c r="CU124" s="291"/>
      <c r="CV124" s="291"/>
      <c r="CW124" s="97"/>
      <c r="CX124" s="291"/>
      <c r="CY124" s="546"/>
      <c r="CZ124" s="546"/>
      <c r="DA124" s="53"/>
      <c r="DB124" s="291"/>
      <c r="DC124" s="291"/>
      <c r="DD124" s="97"/>
      <c r="DE124" s="291"/>
      <c r="DF124" s="546"/>
      <c r="DG124" s="546"/>
      <c r="DH124" s="53"/>
      <c r="DI124" s="291"/>
      <c r="DJ124" s="291"/>
      <c r="DK124" s="97"/>
      <c r="DL124" s="291"/>
      <c r="DM124" s="546"/>
      <c r="DN124" s="546"/>
    </row>
    <row r="125" spans="1:118" ht="127.5">
      <c r="A125" s="19"/>
      <c r="B125" s="526"/>
      <c r="C125" s="527"/>
      <c r="D125" s="233" t="s">
        <v>1255</v>
      </c>
      <c r="E125" s="432">
        <v>6.0000000000000001E-3</v>
      </c>
      <c r="F125" s="187" t="s">
        <v>90</v>
      </c>
      <c r="G125" s="320" t="s">
        <v>469</v>
      </c>
      <c r="H125" s="320" t="s">
        <v>470</v>
      </c>
      <c r="I125" s="320" t="s">
        <v>471</v>
      </c>
      <c r="J125" s="385" t="s">
        <v>472</v>
      </c>
      <c r="K125" s="207">
        <v>45229</v>
      </c>
      <c r="L125" s="156">
        <v>47848</v>
      </c>
      <c r="M125" s="204" t="s">
        <v>97</v>
      </c>
      <c r="N125" s="204" t="s">
        <v>1256</v>
      </c>
      <c r="O125" s="204" t="s">
        <v>1257</v>
      </c>
      <c r="P125" s="204" t="s">
        <v>87</v>
      </c>
      <c r="Q125" s="325">
        <v>0</v>
      </c>
      <c r="R125" s="206">
        <v>2022</v>
      </c>
      <c r="S125" s="236"/>
      <c r="T125" s="203">
        <v>0.2</v>
      </c>
      <c r="U125" s="203">
        <v>0.3</v>
      </c>
      <c r="V125" s="203">
        <v>0.4</v>
      </c>
      <c r="W125" s="203">
        <v>0.5</v>
      </c>
      <c r="X125" s="203">
        <v>0.6</v>
      </c>
      <c r="Y125" s="203">
        <v>0.7</v>
      </c>
      <c r="Z125" s="203">
        <v>0.8</v>
      </c>
      <c r="AA125" s="203">
        <v>1</v>
      </c>
      <c r="AB125" s="203">
        <v>1</v>
      </c>
      <c r="AC125" s="328"/>
      <c r="AD125" s="328">
        <v>0.55249999999999999</v>
      </c>
      <c r="AE125" s="328">
        <v>16.16</v>
      </c>
      <c r="AF125" s="328">
        <v>16.16</v>
      </c>
      <c r="AG125" s="328">
        <v>16.16</v>
      </c>
      <c r="AH125" s="328">
        <v>16.16</v>
      </c>
      <c r="AI125" s="328">
        <v>16.16</v>
      </c>
      <c r="AJ125" s="328">
        <v>16.16</v>
      </c>
      <c r="AK125" s="328">
        <v>16.16</v>
      </c>
      <c r="AL125" s="454">
        <f t="shared" si="46"/>
        <v>113.67249999999999</v>
      </c>
      <c r="AM125" s="190"/>
      <c r="AN125" s="194"/>
      <c r="AO125" s="190"/>
      <c r="AP125" s="194"/>
      <c r="AQ125" s="284">
        <v>0.215</v>
      </c>
      <c r="AR125" s="194" t="s">
        <v>473</v>
      </c>
      <c r="AS125" s="284">
        <v>0.33750000000000002</v>
      </c>
      <c r="AT125" s="194" t="s">
        <v>468</v>
      </c>
      <c r="AU125" s="214">
        <v>5.16</v>
      </c>
      <c r="AV125" s="194" t="s">
        <v>473</v>
      </c>
      <c r="AW125" s="214">
        <v>11</v>
      </c>
      <c r="AX125" s="194" t="s">
        <v>468</v>
      </c>
      <c r="AY125" s="214">
        <v>5.16</v>
      </c>
      <c r="AZ125" s="194" t="s">
        <v>473</v>
      </c>
      <c r="BA125" s="214">
        <v>11</v>
      </c>
      <c r="BB125" s="194" t="s">
        <v>468</v>
      </c>
      <c r="BC125" s="214">
        <v>5.16</v>
      </c>
      <c r="BD125" s="194" t="s">
        <v>473</v>
      </c>
      <c r="BE125" s="214">
        <v>11</v>
      </c>
      <c r="BF125" s="194" t="s">
        <v>468</v>
      </c>
      <c r="BG125" s="214">
        <v>5.16</v>
      </c>
      <c r="BH125" s="194" t="s">
        <v>473</v>
      </c>
      <c r="BI125" s="214">
        <v>11</v>
      </c>
      <c r="BJ125" s="194" t="s">
        <v>468</v>
      </c>
      <c r="BK125" s="214">
        <v>5.16</v>
      </c>
      <c r="BL125" s="194" t="s">
        <v>473</v>
      </c>
      <c r="BM125" s="214">
        <v>11</v>
      </c>
      <c r="BN125" s="194" t="s">
        <v>468</v>
      </c>
      <c r="BO125" s="214">
        <v>5.16</v>
      </c>
      <c r="BP125" s="194" t="s">
        <v>473</v>
      </c>
      <c r="BQ125" s="214">
        <v>11</v>
      </c>
      <c r="BR125" s="194" t="s">
        <v>468</v>
      </c>
      <c r="BS125" s="190">
        <v>5.16</v>
      </c>
      <c r="BT125" s="194" t="s">
        <v>473</v>
      </c>
      <c r="BU125" s="190">
        <v>11</v>
      </c>
      <c r="BV125" s="194" t="s">
        <v>468</v>
      </c>
      <c r="BW125" s="97">
        <f t="shared" si="47"/>
        <v>113.67249999999999</v>
      </c>
      <c r="BX125" s="384"/>
      <c r="BY125" s="53"/>
      <c r="BZ125" s="291"/>
      <c r="CA125" s="291"/>
      <c r="CB125" s="97"/>
      <c r="CC125" s="291"/>
      <c r="CD125" s="546"/>
      <c r="CE125" s="546"/>
      <c r="CF125" s="53"/>
      <c r="CG125" s="291"/>
      <c r="CH125" s="291"/>
      <c r="CI125" s="97"/>
      <c r="CJ125" s="291"/>
      <c r="CK125" s="546"/>
      <c r="CL125" s="546"/>
      <c r="CM125" s="53"/>
      <c r="CN125" s="291"/>
      <c r="CO125" s="291"/>
      <c r="CP125" s="97"/>
      <c r="CQ125" s="291"/>
      <c r="CR125" s="546"/>
      <c r="CS125" s="546"/>
      <c r="CT125" s="53"/>
      <c r="CU125" s="291"/>
      <c r="CV125" s="291"/>
      <c r="CW125" s="97"/>
      <c r="CX125" s="291"/>
      <c r="CY125" s="546"/>
      <c r="CZ125" s="546"/>
      <c r="DA125" s="53"/>
      <c r="DB125" s="291"/>
      <c r="DC125" s="291"/>
      <c r="DD125" s="97"/>
      <c r="DE125" s="291"/>
      <c r="DF125" s="546"/>
      <c r="DG125" s="546"/>
      <c r="DH125" s="53"/>
      <c r="DI125" s="291"/>
      <c r="DJ125" s="291"/>
      <c r="DK125" s="97"/>
      <c r="DL125" s="291"/>
      <c r="DM125" s="546"/>
      <c r="DN125" s="546"/>
    </row>
    <row r="126" spans="1:118" ht="204">
      <c r="A126" s="19"/>
      <c r="B126" s="526"/>
      <c r="C126" s="527"/>
      <c r="D126" s="233" t="s">
        <v>489</v>
      </c>
      <c r="E126" s="432">
        <v>5.0000000000000001E-3</v>
      </c>
      <c r="F126" s="187" t="s">
        <v>466</v>
      </c>
      <c r="G126" s="320" t="s">
        <v>490</v>
      </c>
      <c r="H126" s="320" t="s">
        <v>470</v>
      </c>
      <c r="I126" s="320" t="s">
        <v>471</v>
      </c>
      <c r="J126" s="385" t="s">
        <v>472</v>
      </c>
      <c r="K126" s="207">
        <v>44927</v>
      </c>
      <c r="L126" s="156">
        <v>47848</v>
      </c>
      <c r="M126" s="204" t="s">
        <v>97</v>
      </c>
      <c r="N126" s="204" t="s">
        <v>491</v>
      </c>
      <c r="O126" s="204" t="s">
        <v>1258</v>
      </c>
      <c r="P126" s="204" t="s">
        <v>87</v>
      </c>
      <c r="Q126" s="325">
        <v>0</v>
      </c>
      <c r="R126" s="206">
        <v>2022</v>
      </c>
      <c r="S126" s="321"/>
      <c r="T126" s="217">
        <v>0.1</v>
      </c>
      <c r="U126" s="217">
        <v>0.2</v>
      </c>
      <c r="V126" s="217">
        <v>0.5</v>
      </c>
      <c r="W126" s="236" t="s">
        <v>492</v>
      </c>
      <c r="X126" s="217">
        <v>0.65</v>
      </c>
      <c r="Y126" s="326">
        <v>0.72499999999999998</v>
      </c>
      <c r="Z126" s="217">
        <v>0.8</v>
      </c>
      <c r="AA126" s="217">
        <v>1</v>
      </c>
      <c r="AB126" s="203">
        <v>1</v>
      </c>
      <c r="AC126" s="328"/>
      <c r="AD126" s="328">
        <v>21.6</v>
      </c>
      <c r="AE126" s="328">
        <v>21.6</v>
      </c>
      <c r="AF126" s="328">
        <v>24</v>
      </c>
      <c r="AG126" s="328">
        <v>24</v>
      </c>
      <c r="AH126" s="328">
        <v>46.4</v>
      </c>
      <c r="AI126" s="328">
        <v>46.4</v>
      </c>
      <c r="AJ126" s="328">
        <v>28.8</v>
      </c>
      <c r="AK126" s="328">
        <v>28.8</v>
      </c>
      <c r="AL126" s="454">
        <f t="shared" si="46"/>
        <v>241.60000000000002</v>
      </c>
      <c r="AM126" s="190"/>
      <c r="AN126" s="194"/>
      <c r="AO126" s="190"/>
      <c r="AP126" s="194"/>
      <c r="AQ126" s="285">
        <v>21.6</v>
      </c>
      <c r="AR126" s="194" t="s">
        <v>468</v>
      </c>
      <c r="AS126" s="190"/>
      <c r="AT126" s="194"/>
      <c r="AU126" s="285">
        <v>21.6</v>
      </c>
      <c r="AV126" s="194" t="s">
        <v>468</v>
      </c>
      <c r="AW126" s="321"/>
      <c r="AX126" s="194"/>
      <c r="AY126" s="285">
        <v>24</v>
      </c>
      <c r="AZ126" s="286" t="s">
        <v>126</v>
      </c>
      <c r="BA126" s="287"/>
      <c r="BB126" s="286"/>
      <c r="BC126" s="285">
        <v>24</v>
      </c>
      <c r="BD126" s="286" t="s">
        <v>126</v>
      </c>
      <c r="BE126" s="287"/>
      <c r="BF126" s="286"/>
      <c r="BG126" s="285">
        <v>46.4</v>
      </c>
      <c r="BH126" s="286" t="s">
        <v>126</v>
      </c>
      <c r="BI126" s="287"/>
      <c r="BJ126" s="286"/>
      <c r="BK126" s="285">
        <v>46.4</v>
      </c>
      <c r="BL126" s="136" t="s">
        <v>126</v>
      </c>
      <c r="BM126" s="287"/>
      <c r="BN126" s="286"/>
      <c r="BO126" s="285">
        <v>28.8</v>
      </c>
      <c r="BP126" s="136" t="s">
        <v>126</v>
      </c>
      <c r="BQ126" s="287"/>
      <c r="BR126" s="286"/>
      <c r="BS126" s="287">
        <v>28.8</v>
      </c>
      <c r="BT126" s="136" t="s">
        <v>126</v>
      </c>
      <c r="BU126" s="190"/>
      <c r="BV126" s="194"/>
      <c r="BW126" s="97">
        <f t="shared" si="47"/>
        <v>241.60000000000002</v>
      </c>
      <c r="BX126" s="384"/>
      <c r="BY126" s="53"/>
      <c r="BZ126" s="291"/>
      <c r="CA126" s="291"/>
      <c r="CB126" s="97"/>
      <c r="CC126" s="291"/>
      <c r="CD126" s="546"/>
      <c r="CE126" s="546"/>
      <c r="CF126" s="53"/>
      <c r="CG126" s="291"/>
      <c r="CH126" s="291"/>
      <c r="CI126" s="97"/>
      <c r="CJ126" s="291"/>
      <c r="CK126" s="546"/>
      <c r="CL126" s="546"/>
      <c r="CM126" s="53"/>
      <c r="CN126" s="291"/>
      <c r="CO126" s="291"/>
      <c r="CP126" s="97"/>
      <c r="CQ126" s="291"/>
      <c r="CR126" s="546"/>
      <c r="CS126" s="546"/>
      <c r="CT126" s="53"/>
      <c r="CU126" s="291"/>
      <c r="CV126" s="291"/>
      <c r="CW126" s="97"/>
      <c r="CX126" s="291"/>
      <c r="CY126" s="546"/>
      <c r="CZ126" s="546"/>
      <c r="DA126" s="53"/>
      <c r="DB126" s="291"/>
      <c r="DC126" s="291"/>
      <c r="DD126" s="97"/>
      <c r="DE126" s="291"/>
      <c r="DF126" s="546"/>
      <c r="DG126" s="546"/>
      <c r="DH126" s="53"/>
      <c r="DI126" s="291"/>
      <c r="DJ126" s="291"/>
      <c r="DK126" s="97"/>
      <c r="DL126" s="291"/>
      <c r="DM126" s="546"/>
      <c r="DN126" s="546"/>
    </row>
    <row r="127" spans="1:118" ht="242.25">
      <c r="A127" s="19"/>
      <c r="B127" s="526"/>
      <c r="C127" s="527"/>
      <c r="D127" s="233" t="s">
        <v>493</v>
      </c>
      <c r="E127" s="432">
        <v>7.0000000000000001E-3</v>
      </c>
      <c r="F127" s="187" t="s">
        <v>90</v>
      </c>
      <c r="G127" s="320" t="s">
        <v>494</v>
      </c>
      <c r="H127" s="320" t="s">
        <v>495</v>
      </c>
      <c r="I127" s="320" t="s">
        <v>496</v>
      </c>
      <c r="J127" s="385" t="s">
        <v>497</v>
      </c>
      <c r="K127" s="207">
        <v>44927</v>
      </c>
      <c r="L127" s="156">
        <v>47848</v>
      </c>
      <c r="M127" s="204" t="s">
        <v>97</v>
      </c>
      <c r="N127" s="136" t="s">
        <v>498</v>
      </c>
      <c r="O127" s="136" t="s">
        <v>1259</v>
      </c>
      <c r="P127" s="204" t="s">
        <v>87</v>
      </c>
      <c r="Q127" s="325">
        <v>0</v>
      </c>
      <c r="R127" s="206">
        <v>2022</v>
      </c>
      <c r="S127" s="321"/>
      <c r="T127" s="217">
        <v>0.15</v>
      </c>
      <c r="U127" s="217">
        <v>0.25</v>
      </c>
      <c r="V127" s="326">
        <v>0.375</v>
      </c>
      <c r="W127" s="217">
        <v>0.5</v>
      </c>
      <c r="X127" s="217">
        <v>0.7</v>
      </c>
      <c r="Y127" s="217">
        <v>0.9</v>
      </c>
      <c r="Z127" s="217">
        <v>0.95</v>
      </c>
      <c r="AA127" s="217">
        <v>1</v>
      </c>
      <c r="AB127" s="217">
        <v>1</v>
      </c>
      <c r="AC127" s="328"/>
      <c r="AD127" s="328">
        <v>21.6</v>
      </c>
      <c r="AE127" s="328">
        <v>21.6</v>
      </c>
      <c r="AF127" s="328">
        <v>42.7</v>
      </c>
      <c r="AG127" s="328">
        <v>42.7</v>
      </c>
      <c r="AH127" s="328">
        <v>26.4</v>
      </c>
      <c r="AI127" s="328">
        <v>26.4</v>
      </c>
      <c r="AJ127" s="328">
        <v>26.4</v>
      </c>
      <c r="AK127" s="328">
        <v>32</v>
      </c>
      <c r="AL127" s="454">
        <f t="shared" si="46"/>
        <v>239.80000000000004</v>
      </c>
      <c r="AM127" s="190"/>
      <c r="AN127" s="194"/>
      <c r="AO127" s="190"/>
      <c r="AP127" s="194"/>
      <c r="AQ127" s="285">
        <v>21.6</v>
      </c>
      <c r="AR127" s="194" t="s">
        <v>468</v>
      </c>
      <c r="AS127" s="190"/>
      <c r="AT127" s="194"/>
      <c r="AU127" s="285">
        <v>21.6</v>
      </c>
      <c r="AV127" s="194" t="s">
        <v>468</v>
      </c>
      <c r="AW127" s="321"/>
      <c r="AX127" s="194"/>
      <c r="AY127" s="285">
        <v>42.7</v>
      </c>
      <c r="AZ127" s="194" t="s">
        <v>126</v>
      </c>
      <c r="BA127" s="321"/>
      <c r="BB127" s="194"/>
      <c r="BC127" s="285">
        <v>42.7</v>
      </c>
      <c r="BD127" s="194" t="s">
        <v>468</v>
      </c>
      <c r="BE127" s="321"/>
      <c r="BF127" s="194"/>
      <c r="BG127" s="285">
        <v>26.4</v>
      </c>
      <c r="BH127" s="194" t="s">
        <v>155</v>
      </c>
      <c r="BI127" s="321"/>
      <c r="BJ127" s="194"/>
      <c r="BK127" s="285">
        <v>26.4</v>
      </c>
      <c r="BL127" s="194" t="s">
        <v>468</v>
      </c>
      <c r="BM127" s="321"/>
      <c r="BN127" s="194"/>
      <c r="BO127" s="285">
        <v>26.4</v>
      </c>
      <c r="BP127" s="285" t="s">
        <v>126</v>
      </c>
      <c r="BQ127" s="321"/>
      <c r="BR127" s="194"/>
      <c r="BS127" s="190">
        <v>32</v>
      </c>
      <c r="BT127" s="194" t="s">
        <v>126</v>
      </c>
      <c r="BU127" s="190"/>
      <c r="BV127" s="194"/>
      <c r="BW127" s="97">
        <f t="shared" si="47"/>
        <v>239.80000000000004</v>
      </c>
      <c r="BX127" s="384"/>
      <c r="BY127" s="53"/>
      <c r="BZ127" s="291"/>
      <c r="CA127" s="291"/>
      <c r="CB127" s="97"/>
      <c r="CC127" s="291"/>
      <c r="CD127" s="546"/>
      <c r="CE127" s="546"/>
      <c r="CF127" s="53"/>
      <c r="CG127" s="291"/>
      <c r="CH127" s="291"/>
      <c r="CI127" s="97"/>
      <c r="CJ127" s="291"/>
      <c r="CK127" s="546"/>
      <c r="CL127" s="546"/>
      <c r="CM127" s="53"/>
      <c r="CN127" s="291"/>
      <c r="CO127" s="291"/>
      <c r="CP127" s="97"/>
      <c r="CQ127" s="291"/>
      <c r="CR127" s="546"/>
      <c r="CS127" s="546"/>
      <c r="CT127" s="53"/>
      <c r="CU127" s="291"/>
      <c r="CV127" s="291"/>
      <c r="CW127" s="97"/>
      <c r="CX127" s="291"/>
      <c r="CY127" s="546"/>
      <c r="CZ127" s="546"/>
      <c r="DA127" s="53"/>
      <c r="DB127" s="291"/>
      <c r="DC127" s="291"/>
      <c r="DD127" s="97"/>
      <c r="DE127" s="291"/>
      <c r="DF127" s="546"/>
      <c r="DG127" s="546"/>
      <c r="DH127" s="53"/>
      <c r="DI127" s="291"/>
      <c r="DJ127" s="291"/>
      <c r="DK127" s="97"/>
      <c r="DL127" s="291"/>
      <c r="DM127" s="546"/>
      <c r="DN127" s="546"/>
    </row>
    <row r="128" spans="1:118" ht="178.5">
      <c r="A128" s="19"/>
      <c r="B128" s="526"/>
      <c r="C128" s="527"/>
      <c r="D128" s="233" t="s">
        <v>499</v>
      </c>
      <c r="E128" s="432">
        <v>0.01</v>
      </c>
      <c r="F128" s="187" t="s">
        <v>90</v>
      </c>
      <c r="G128" s="320" t="s">
        <v>469</v>
      </c>
      <c r="H128" s="320" t="s">
        <v>470</v>
      </c>
      <c r="I128" s="320" t="s">
        <v>471</v>
      </c>
      <c r="J128" s="385" t="s">
        <v>472</v>
      </c>
      <c r="K128" s="207">
        <v>44927</v>
      </c>
      <c r="L128" s="156">
        <v>47848</v>
      </c>
      <c r="M128" s="204" t="s">
        <v>97</v>
      </c>
      <c r="N128" s="136" t="s">
        <v>500</v>
      </c>
      <c r="O128" s="136" t="s">
        <v>1260</v>
      </c>
      <c r="P128" s="204" t="s">
        <v>87</v>
      </c>
      <c r="Q128" s="325">
        <v>0</v>
      </c>
      <c r="R128" s="206">
        <v>2022</v>
      </c>
      <c r="S128" s="321"/>
      <c r="T128" s="217">
        <v>0.2</v>
      </c>
      <c r="U128" s="217">
        <v>0.3</v>
      </c>
      <c r="V128" s="217">
        <v>0.4</v>
      </c>
      <c r="W128" s="217">
        <v>0.5</v>
      </c>
      <c r="X128" s="288">
        <v>0.8</v>
      </c>
      <c r="Y128" s="217">
        <v>0.9</v>
      </c>
      <c r="Z128" s="217">
        <v>0.95</v>
      </c>
      <c r="AA128" s="217">
        <v>1</v>
      </c>
      <c r="AB128" s="217">
        <v>1</v>
      </c>
      <c r="AC128" s="328"/>
      <c r="AD128" s="328">
        <v>21.6</v>
      </c>
      <c r="AE128" s="328">
        <v>21.6</v>
      </c>
      <c r="AF128" s="328">
        <v>24</v>
      </c>
      <c r="AG128" s="328">
        <v>24</v>
      </c>
      <c r="AH128" s="328">
        <v>46.4</v>
      </c>
      <c r="AI128" s="328">
        <v>46.4</v>
      </c>
      <c r="AJ128" s="328">
        <v>28.8</v>
      </c>
      <c r="AK128" s="328">
        <v>28.8</v>
      </c>
      <c r="AL128" s="454">
        <f t="shared" si="46"/>
        <v>241.60000000000002</v>
      </c>
      <c r="AM128" s="190"/>
      <c r="AN128" s="194"/>
      <c r="AO128" s="190"/>
      <c r="AP128" s="194"/>
      <c r="AQ128" s="285">
        <v>21.6</v>
      </c>
      <c r="AR128" s="194" t="s">
        <v>468</v>
      </c>
      <c r="AS128" s="190"/>
      <c r="AT128" s="194"/>
      <c r="AU128" s="285">
        <v>21.6</v>
      </c>
      <c r="AV128" s="194" t="s">
        <v>468</v>
      </c>
      <c r="AW128" s="321"/>
      <c r="AX128" s="194"/>
      <c r="AY128" s="285">
        <v>24</v>
      </c>
      <c r="AZ128" s="286" t="s">
        <v>126</v>
      </c>
      <c r="BA128" s="287"/>
      <c r="BB128" s="286"/>
      <c r="BC128" s="285">
        <v>24</v>
      </c>
      <c r="BD128" s="286" t="s">
        <v>126</v>
      </c>
      <c r="BE128" s="287"/>
      <c r="BF128" s="286"/>
      <c r="BG128" s="285">
        <v>46.4</v>
      </c>
      <c r="BH128" s="286" t="s">
        <v>126</v>
      </c>
      <c r="BI128" s="287"/>
      <c r="BJ128" s="286"/>
      <c r="BK128" s="285">
        <v>46.4</v>
      </c>
      <c r="BL128" s="136" t="s">
        <v>126</v>
      </c>
      <c r="BM128" s="287"/>
      <c r="BN128" s="286"/>
      <c r="BO128" s="285">
        <v>28.8</v>
      </c>
      <c r="BP128" s="136" t="s">
        <v>126</v>
      </c>
      <c r="BQ128" s="287"/>
      <c r="BR128" s="286"/>
      <c r="BS128" s="190">
        <v>28.8</v>
      </c>
      <c r="BT128" s="136" t="s">
        <v>126</v>
      </c>
      <c r="BU128" s="190"/>
      <c r="BV128" s="194"/>
      <c r="BW128" s="97">
        <f t="shared" si="47"/>
        <v>241.60000000000002</v>
      </c>
      <c r="BX128" s="384"/>
      <c r="BY128" s="53"/>
      <c r="BZ128" s="291"/>
      <c r="CA128" s="291"/>
      <c r="CB128" s="97"/>
      <c r="CC128" s="291"/>
      <c r="CD128" s="546"/>
      <c r="CE128" s="546"/>
      <c r="CF128" s="53"/>
      <c r="CG128" s="291"/>
      <c r="CH128" s="291"/>
      <c r="CI128" s="97"/>
      <c r="CJ128" s="291"/>
      <c r="CK128" s="546"/>
      <c r="CL128" s="546"/>
      <c r="CM128" s="53"/>
      <c r="CN128" s="291"/>
      <c r="CO128" s="291"/>
      <c r="CP128" s="97"/>
      <c r="CQ128" s="291"/>
      <c r="CR128" s="546"/>
      <c r="CS128" s="546"/>
      <c r="CT128" s="53"/>
      <c r="CU128" s="291"/>
      <c r="CV128" s="291"/>
      <c r="CW128" s="97"/>
      <c r="CX128" s="291"/>
      <c r="CY128" s="546"/>
      <c r="CZ128" s="546"/>
      <c r="DA128" s="53"/>
      <c r="DB128" s="291"/>
      <c r="DC128" s="291"/>
      <c r="DD128" s="97"/>
      <c r="DE128" s="291"/>
      <c r="DF128" s="546"/>
      <c r="DG128" s="546"/>
      <c r="DH128" s="53"/>
      <c r="DI128" s="291"/>
      <c r="DJ128" s="291"/>
      <c r="DK128" s="97"/>
      <c r="DL128" s="291"/>
      <c r="DM128" s="546"/>
      <c r="DN128" s="546"/>
    </row>
    <row r="129" spans="1:118" ht="153">
      <c r="A129" s="19"/>
      <c r="B129" s="526"/>
      <c r="C129" s="527"/>
      <c r="D129" s="466" t="s">
        <v>501</v>
      </c>
      <c r="E129" s="432">
        <v>0.01</v>
      </c>
      <c r="F129" s="187" t="s">
        <v>90</v>
      </c>
      <c r="G129" s="320" t="s">
        <v>469</v>
      </c>
      <c r="H129" s="320" t="s">
        <v>470</v>
      </c>
      <c r="I129" s="320" t="s">
        <v>471</v>
      </c>
      <c r="J129" s="385" t="s">
        <v>472</v>
      </c>
      <c r="K129" s="207">
        <v>44927</v>
      </c>
      <c r="L129" s="156">
        <v>47848</v>
      </c>
      <c r="M129" s="193" t="s">
        <v>97</v>
      </c>
      <c r="N129" s="136" t="s">
        <v>502</v>
      </c>
      <c r="O129" s="193" t="s">
        <v>503</v>
      </c>
      <c r="P129" s="204" t="s">
        <v>87</v>
      </c>
      <c r="Q129" s="294">
        <v>0</v>
      </c>
      <c r="R129" s="206">
        <v>2022</v>
      </c>
      <c r="S129" s="321"/>
      <c r="T129" s="201">
        <v>0.1</v>
      </c>
      <c r="U129" s="201">
        <v>0.2</v>
      </c>
      <c r="V129" s="201">
        <v>0.3</v>
      </c>
      <c r="W129" s="201">
        <v>0.4</v>
      </c>
      <c r="X129" s="201">
        <v>0.6</v>
      </c>
      <c r="Y129" s="201">
        <v>0.7</v>
      </c>
      <c r="Z129" s="201">
        <v>0.8</v>
      </c>
      <c r="AA129" s="201">
        <v>1</v>
      </c>
      <c r="AB129" s="327">
        <v>1</v>
      </c>
      <c r="AC129" s="328"/>
      <c r="AD129" s="328">
        <v>21.6</v>
      </c>
      <c r="AE129" s="328">
        <v>21.6</v>
      </c>
      <c r="AF129" s="328">
        <v>42.7</v>
      </c>
      <c r="AG129" s="328">
        <v>42.7</v>
      </c>
      <c r="AH129" s="328">
        <v>26.4</v>
      </c>
      <c r="AI129" s="328">
        <v>47.5</v>
      </c>
      <c r="AJ129" s="328">
        <v>47.5</v>
      </c>
      <c r="AK129" s="328">
        <v>32</v>
      </c>
      <c r="AL129" s="454">
        <f t="shared" si="46"/>
        <v>282</v>
      </c>
      <c r="AM129" s="190"/>
      <c r="AN129" s="194"/>
      <c r="AO129" s="190"/>
      <c r="AP129" s="194"/>
      <c r="AQ129" s="293">
        <v>21.6</v>
      </c>
      <c r="AR129" s="194" t="s">
        <v>126</v>
      </c>
      <c r="AS129" s="190"/>
      <c r="AT129" s="194"/>
      <c r="AU129" s="285">
        <v>21.6</v>
      </c>
      <c r="AV129" s="194" t="s">
        <v>504</v>
      </c>
      <c r="AW129" s="321" t="s">
        <v>81</v>
      </c>
      <c r="AX129" s="194" t="s">
        <v>81</v>
      </c>
      <c r="AY129" s="285">
        <v>42.7</v>
      </c>
      <c r="AZ129" s="301" t="s">
        <v>126</v>
      </c>
      <c r="BA129" s="295" t="s">
        <v>81</v>
      </c>
      <c r="BB129" s="208" t="s">
        <v>81</v>
      </c>
      <c r="BC129" s="285">
        <v>42.7</v>
      </c>
      <c r="BD129" s="286" t="s">
        <v>126</v>
      </c>
      <c r="BE129" s="295" t="s">
        <v>81</v>
      </c>
      <c r="BF129" s="208" t="s">
        <v>81</v>
      </c>
      <c r="BG129" s="285">
        <v>26.4</v>
      </c>
      <c r="BH129" s="208" t="s">
        <v>504</v>
      </c>
      <c r="BI129" s="295" t="s">
        <v>81</v>
      </c>
      <c r="BJ129" s="208" t="s">
        <v>81</v>
      </c>
      <c r="BK129" s="285">
        <v>47.5</v>
      </c>
      <c r="BL129" s="208" t="s">
        <v>504</v>
      </c>
      <c r="BM129" s="295" t="s">
        <v>81</v>
      </c>
      <c r="BN129" s="208" t="s">
        <v>81</v>
      </c>
      <c r="BO129" s="285">
        <v>47.5</v>
      </c>
      <c r="BP129" s="208" t="s">
        <v>504</v>
      </c>
      <c r="BQ129" s="295" t="s">
        <v>81</v>
      </c>
      <c r="BR129" s="208" t="s">
        <v>81</v>
      </c>
      <c r="BS129" s="293">
        <v>32</v>
      </c>
      <c r="BT129" s="208" t="s">
        <v>504</v>
      </c>
      <c r="BU129" s="293" t="s">
        <v>81</v>
      </c>
      <c r="BV129" s="208" t="s">
        <v>81</v>
      </c>
      <c r="BW129" s="97">
        <f t="shared" si="47"/>
        <v>282</v>
      </c>
      <c r="BX129" s="384"/>
      <c r="BY129" s="53"/>
      <c r="BZ129" s="291"/>
      <c r="CA129" s="291"/>
      <c r="CB129" s="97"/>
      <c r="CC129" s="291"/>
      <c r="CD129" s="546"/>
      <c r="CE129" s="546"/>
      <c r="CF129" s="53"/>
      <c r="CG129" s="291"/>
      <c r="CH129" s="291"/>
      <c r="CI129" s="97"/>
      <c r="CJ129" s="291"/>
      <c r="CK129" s="546"/>
      <c r="CL129" s="546"/>
      <c r="CM129" s="53"/>
      <c r="CN129" s="291"/>
      <c r="CO129" s="291"/>
      <c r="CP129" s="97"/>
      <c r="CQ129" s="291"/>
      <c r="CR129" s="546"/>
      <c r="CS129" s="546"/>
      <c r="CT129" s="53"/>
      <c r="CU129" s="291"/>
      <c r="CV129" s="291"/>
      <c r="CW129" s="97"/>
      <c r="CX129" s="291"/>
      <c r="CY129" s="546"/>
      <c r="CZ129" s="546"/>
      <c r="DA129" s="53"/>
      <c r="DB129" s="291"/>
      <c r="DC129" s="291"/>
      <c r="DD129" s="97"/>
      <c r="DE129" s="291"/>
      <c r="DF129" s="546"/>
      <c r="DG129" s="546"/>
      <c r="DH129" s="53"/>
      <c r="DI129" s="291"/>
      <c r="DJ129" s="291"/>
      <c r="DK129" s="97"/>
      <c r="DL129" s="291"/>
      <c r="DM129" s="546"/>
      <c r="DN129" s="546"/>
    </row>
    <row r="130" spans="1:118" ht="140.25">
      <c r="A130" s="19"/>
      <c r="B130" s="526"/>
      <c r="C130" s="527"/>
      <c r="D130" s="308" t="s">
        <v>1261</v>
      </c>
      <c r="E130" s="432">
        <v>1.0999999999999999E-2</v>
      </c>
      <c r="F130" s="187" t="s">
        <v>90</v>
      </c>
      <c r="G130" s="320" t="s">
        <v>469</v>
      </c>
      <c r="H130" s="320" t="s">
        <v>505</v>
      </c>
      <c r="I130" s="187" t="s">
        <v>506</v>
      </c>
      <c r="J130" s="385" t="s">
        <v>507</v>
      </c>
      <c r="K130" s="207">
        <v>44743</v>
      </c>
      <c r="L130" s="207">
        <v>46387</v>
      </c>
      <c r="M130" s="193" t="s">
        <v>78</v>
      </c>
      <c r="N130" s="193" t="s">
        <v>1262</v>
      </c>
      <c r="O130" s="193" t="s">
        <v>1263</v>
      </c>
      <c r="P130" s="193" t="s">
        <v>87</v>
      </c>
      <c r="Q130" s="325">
        <v>0.1</v>
      </c>
      <c r="R130" s="216">
        <v>2022</v>
      </c>
      <c r="S130" s="217">
        <v>0.2</v>
      </c>
      <c r="T130" s="217">
        <v>0.4</v>
      </c>
      <c r="U130" s="217">
        <v>0.6</v>
      </c>
      <c r="V130" s="217">
        <v>0.8</v>
      </c>
      <c r="W130" s="217">
        <v>1</v>
      </c>
      <c r="X130" s="217"/>
      <c r="Y130" s="217"/>
      <c r="Z130" s="217"/>
      <c r="AA130" s="217"/>
      <c r="AB130" s="217">
        <v>1</v>
      </c>
      <c r="AC130" s="328">
        <v>32</v>
      </c>
      <c r="AD130" s="328">
        <v>112.5</v>
      </c>
      <c r="AE130" s="328">
        <v>120</v>
      </c>
      <c r="AF130" s="328">
        <v>32.5</v>
      </c>
      <c r="AG130" s="328">
        <v>32.5</v>
      </c>
      <c r="AH130" s="328"/>
      <c r="AI130" s="328"/>
      <c r="AJ130" s="328"/>
      <c r="AK130" s="328"/>
      <c r="AL130" s="454">
        <f t="shared" si="46"/>
        <v>329.5</v>
      </c>
      <c r="AM130" s="285">
        <v>32.5</v>
      </c>
      <c r="AN130" s="194" t="s">
        <v>114</v>
      </c>
      <c r="AO130" s="190"/>
      <c r="AP130" s="194"/>
      <c r="AQ130" s="190">
        <v>112.5</v>
      </c>
      <c r="AR130" s="194" t="s">
        <v>1264</v>
      </c>
      <c r="AS130" s="194"/>
      <c r="AT130" s="321"/>
      <c r="AU130" s="194">
        <v>120</v>
      </c>
      <c r="AV130" s="321" t="s">
        <v>1264</v>
      </c>
      <c r="AW130" s="194"/>
      <c r="AX130" s="321"/>
      <c r="AY130" s="286">
        <v>32.5</v>
      </c>
      <c r="AZ130" s="127" t="s">
        <v>1264</v>
      </c>
      <c r="BA130" s="194"/>
      <c r="BB130" s="321"/>
      <c r="BC130" s="286">
        <v>32.5</v>
      </c>
      <c r="BD130" s="194" t="s">
        <v>1264</v>
      </c>
      <c r="BE130" s="321"/>
      <c r="BF130" s="194"/>
      <c r="BG130" s="321"/>
      <c r="BH130" s="194"/>
      <c r="BI130" s="321"/>
      <c r="BJ130" s="194"/>
      <c r="BK130" s="321"/>
      <c r="BL130" s="194"/>
      <c r="BM130" s="321"/>
      <c r="BN130" s="194"/>
      <c r="BO130" s="321"/>
      <c r="BP130" s="194"/>
      <c r="BQ130" s="321"/>
      <c r="BR130" s="194"/>
      <c r="BS130" s="190"/>
      <c r="BT130" s="194"/>
      <c r="BU130" s="190"/>
      <c r="BV130" s="194"/>
      <c r="BW130" s="97">
        <f t="shared" si="47"/>
        <v>330</v>
      </c>
      <c r="BX130" s="384"/>
      <c r="BY130" s="53"/>
      <c r="BZ130" s="291"/>
      <c r="CA130" s="291"/>
      <c r="CB130" s="97"/>
      <c r="CC130" s="291"/>
      <c r="CD130" s="546"/>
      <c r="CE130" s="546"/>
      <c r="CF130" s="53"/>
      <c r="CG130" s="291"/>
      <c r="CH130" s="291"/>
      <c r="CI130" s="97"/>
      <c r="CJ130" s="291"/>
      <c r="CK130" s="546"/>
      <c r="CL130" s="546"/>
      <c r="CM130" s="53"/>
      <c r="CN130" s="291"/>
      <c r="CO130" s="291"/>
      <c r="CP130" s="97"/>
      <c r="CQ130" s="291"/>
      <c r="CR130" s="546"/>
      <c r="CS130" s="546"/>
      <c r="CT130" s="53"/>
      <c r="CU130" s="291"/>
      <c r="CV130" s="291"/>
      <c r="CW130" s="97"/>
      <c r="CX130" s="291"/>
      <c r="CY130" s="546"/>
      <c r="CZ130" s="546"/>
      <c r="DA130" s="53"/>
      <c r="DB130" s="291"/>
      <c r="DC130" s="291"/>
      <c r="DD130" s="97"/>
      <c r="DE130" s="291"/>
      <c r="DF130" s="546"/>
      <c r="DG130" s="546"/>
      <c r="DH130" s="53"/>
      <c r="DI130" s="291"/>
      <c r="DJ130" s="291"/>
      <c r="DK130" s="97"/>
      <c r="DL130" s="291"/>
      <c r="DM130" s="546"/>
      <c r="DN130" s="546"/>
    </row>
    <row r="131" spans="1:118" ht="255">
      <c r="A131" s="19"/>
      <c r="B131" s="526"/>
      <c r="C131" s="527"/>
      <c r="D131" s="233" t="s">
        <v>508</v>
      </c>
      <c r="E131" s="432">
        <v>0.01</v>
      </c>
      <c r="F131" s="187" t="s">
        <v>90</v>
      </c>
      <c r="G131" s="320" t="s">
        <v>509</v>
      </c>
      <c r="H131" s="320" t="s">
        <v>510</v>
      </c>
      <c r="I131" s="187" t="s">
        <v>511</v>
      </c>
      <c r="J131" s="385" t="s">
        <v>512</v>
      </c>
      <c r="K131" s="207">
        <v>44927</v>
      </c>
      <c r="L131" s="156">
        <v>46752</v>
      </c>
      <c r="M131" s="204" t="s">
        <v>97</v>
      </c>
      <c r="N131" s="204" t="s">
        <v>513</v>
      </c>
      <c r="O131" s="193" t="s">
        <v>514</v>
      </c>
      <c r="P131" s="204" t="s">
        <v>87</v>
      </c>
      <c r="Q131" s="325">
        <v>0</v>
      </c>
      <c r="R131" s="216">
        <v>2022</v>
      </c>
      <c r="S131" s="203"/>
      <c r="T131" s="203">
        <v>0.2</v>
      </c>
      <c r="U131" s="203">
        <v>0.4</v>
      </c>
      <c r="V131" s="203">
        <v>0.5</v>
      </c>
      <c r="W131" s="203">
        <v>0.8</v>
      </c>
      <c r="X131" s="203">
        <v>1</v>
      </c>
      <c r="Y131" s="203"/>
      <c r="Z131" s="203"/>
      <c r="AA131" s="203"/>
      <c r="AB131" s="203">
        <v>1</v>
      </c>
      <c r="AC131" s="328"/>
      <c r="AD131" s="328">
        <v>65</v>
      </c>
      <c r="AE131" s="328">
        <v>65</v>
      </c>
      <c r="AF131" s="328">
        <v>60</v>
      </c>
      <c r="AG131" s="328">
        <v>60</v>
      </c>
      <c r="AH131" s="328">
        <v>40</v>
      </c>
      <c r="AI131" s="328"/>
      <c r="AJ131" s="328"/>
      <c r="AK131" s="328"/>
      <c r="AL131" s="454">
        <f t="shared" ref="AL131:AL191" si="83">IF(SUM(AC131:AK131)=0,"",SUM(AC131:AK131))</f>
        <v>290</v>
      </c>
      <c r="AM131" s="190"/>
      <c r="AN131" s="194"/>
      <c r="AO131" s="190"/>
      <c r="AP131" s="194"/>
      <c r="AQ131" s="190">
        <v>65</v>
      </c>
      <c r="AR131" s="194" t="s">
        <v>468</v>
      </c>
      <c r="AS131" s="190"/>
      <c r="AT131" s="194"/>
      <c r="AU131" s="190">
        <v>65</v>
      </c>
      <c r="AV131" s="194" t="s">
        <v>468</v>
      </c>
      <c r="AW131" s="190"/>
      <c r="AX131" s="194"/>
      <c r="AY131" s="190">
        <v>60</v>
      </c>
      <c r="AZ131" s="194" t="s">
        <v>126</v>
      </c>
      <c r="BA131" s="190"/>
      <c r="BB131" s="194"/>
      <c r="BC131" s="190">
        <v>60</v>
      </c>
      <c r="BD131" s="194" t="s">
        <v>126</v>
      </c>
      <c r="BE131" s="190"/>
      <c r="BF131" s="194"/>
      <c r="BG131" s="190">
        <v>40</v>
      </c>
      <c r="BH131" s="194" t="s">
        <v>126</v>
      </c>
      <c r="BI131" s="190"/>
      <c r="BJ131" s="194"/>
      <c r="BK131" s="190"/>
      <c r="BL131" s="194"/>
      <c r="BM131" s="321"/>
      <c r="BN131" s="194"/>
      <c r="BO131" s="321"/>
      <c r="BP131" s="194"/>
      <c r="BQ131" s="321"/>
      <c r="BR131" s="194"/>
      <c r="BS131" s="190"/>
      <c r="BT131" s="194"/>
      <c r="BU131" s="190"/>
      <c r="BV131" s="194"/>
      <c r="BW131" s="97">
        <f t="shared" si="47"/>
        <v>290</v>
      </c>
      <c r="BX131" s="384"/>
      <c r="BY131" s="53"/>
      <c r="BZ131" s="291"/>
      <c r="CA131" s="291"/>
      <c r="CB131" s="97"/>
      <c r="CC131" s="291"/>
      <c r="CD131" s="546"/>
      <c r="CE131" s="546"/>
      <c r="CF131" s="53"/>
      <c r="CG131" s="291"/>
      <c r="CH131" s="291"/>
      <c r="CI131" s="97"/>
      <c r="CJ131" s="291"/>
      <c r="CK131" s="546"/>
      <c r="CL131" s="546"/>
      <c r="CM131" s="53"/>
      <c r="CN131" s="291"/>
      <c r="CO131" s="291"/>
      <c r="CP131" s="97"/>
      <c r="CQ131" s="291"/>
      <c r="CR131" s="546"/>
      <c r="CS131" s="546"/>
      <c r="CT131" s="53"/>
      <c r="CU131" s="291"/>
      <c r="CV131" s="291"/>
      <c r="CW131" s="97"/>
      <c r="CX131" s="291"/>
      <c r="CY131" s="546"/>
      <c r="CZ131" s="546"/>
      <c r="DA131" s="53"/>
      <c r="DB131" s="291"/>
      <c r="DC131" s="291"/>
      <c r="DD131" s="97"/>
      <c r="DE131" s="291"/>
      <c r="DF131" s="546"/>
      <c r="DG131" s="546"/>
      <c r="DH131" s="53"/>
      <c r="DI131" s="291"/>
      <c r="DJ131" s="291"/>
      <c r="DK131" s="97"/>
      <c r="DL131" s="291"/>
      <c r="DM131" s="546"/>
      <c r="DN131" s="546"/>
    </row>
    <row r="132" spans="1:118" ht="229.5">
      <c r="A132" s="19"/>
      <c r="B132" s="526"/>
      <c r="C132" s="527"/>
      <c r="D132" s="308" t="s">
        <v>1265</v>
      </c>
      <c r="E132" s="432">
        <v>1.0999999999999999E-2</v>
      </c>
      <c r="F132" s="187" t="s">
        <v>90</v>
      </c>
      <c r="G132" s="187" t="s">
        <v>469</v>
      </c>
      <c r="H132" s="187" t="s">
        <v>470</v>
      </c>
      <c r="I132" s="187" t="s">
        <v>506</v>
      </c>
      <c r="J132" s="385" t="s">
        <v>507</v>
      </c>
      <c r="K132" s="207">
        <v>45108</v>
      </c>
      <c r="L132" s="156">
        <v>46752</v>
      </c>
      <c r="M132" s="193" t="s">
        <v>78</v>
      </c>
      <c r="N132" s="193" t="s">
        <v>1266</v>
      </c>
      <c r="O132" s="193" t="s">
        <v>1267</v>
      </c>
      <c r="P132" s="193" t="s">
        <v>87</v>
      </c>
      <c r="Q132" s="325">
        <v>0</v>
      </c>
      <c r="R132" s="216">
        <v>2022</v>
      </c>
      <c r="S132" s="236"/>
      <c r="T132" s="217">
        <v>0.2</v>
      </c>
      <c r="U132" s="217">
        <v>0.4</v>
      </c>
      <c r="V132" s="217">
        <v>0.6</v>
      </c>
      <c r="W132" s="217">
        <v>0.8</v>
      </c>
      <c r="X132" s="217">
        <v>1</v>
      </c>
      <c r="Y132" s="236"/>
      <c r="Z132" s="236"/>
      <c r="AA132" s="236"/>
      <c r="AB132" s="325">
        <v>1</v>
      </c>
      <c r="AC132" s="328"/>
      <c r="AD132" s="328">
        <v>32</v>
      </c>
      <c r="AE132" s="328">
        <v>112.5</v>
      </c>
      <c r="AF132" s="328">
        <v>120</v>
      </c>
      <c r="AG132" s="328">
        <v>32.5</v>
      </c>
      <c r="AH132" s="328">
        <v>32.5</v>
      </c>
      <c r="AI132" s="328"/>
      <c r="AJ132" s="328"/>
      <c r="AK132" s="328"/>
      <c r="AL132" s="454">
        <f t="shared" si="83"/>
        <v>329.5</v>
      </c>
      <c r="AM132" s="190"/>
      <c r="AN132" s="194"/>
      <c r="AO132" s="190"/>
      <c r="AP132" s="194"/>
      <c r="AQ132" s="285">
        <v>32.5</v>
      </c>
      <c r="AR132" s="194" t="s">
        <v>114</v>
      </c>
      <c r="AS132" s="190"/>
      <c r="AT132" s="194"/>
      <c r="AU132" s="285">
        <v>112.5</v>
      </c>
      <c r="AV132" s="194" t="s">
        <v>114</v>
      </c>
      <c r="AW132" s="194"/>
      <c r="AX132" s="321"/>
      <c r="AY132" s="285">
        <v>120</v>
      </c>
      <c r="AZ132" s="194" t="s">
        <v>114</v>
      </c>
      <c r="BA132" s="194"/>
      <c r="BB132" s="321"/>
      <c r="BC132" s="285">
        <v>32.5</v>
      </c>
      <c r="BD132" s="194" t="s">
        <v>114</v>
      </c>
      <c r="BE132" s="194"/>
      <c r="BF132" s="321"/>
      <c r="BG132" s="285">
        <v>32.5</v>
      </c>
      <c r="BH132" s="194" t="s">
        <v>114</v>
      </c>
      <c r="BI132" s="321"/>
      <c r="BJ132" s="194"/>
      <c r="BK132" s="190"/>
      <c r="BL132" s="194"/>
      <c r="BM132" s="321"/>
      <c r="BN132" s="194"/>
      <c r="BO132" s="321"/>
      <c r="BP132" s="194"/>
      <c r="BQ132" s="321"/>
      <c r="BR132" s="194"/>
      <c r="BS132" s="190"/>
      <c r="BT132" s="194"/>
      <c r="BU132" s="190"/>
      <c r="BV132" s="194"/>
      <c r="BW132" s="97">
        <f t="shared" si="47"/>
        <v>330</v>
      </c>
      <c r="BX132" s="384"/>
      <c r="BY132" s="53"/>
      <c r="BZ132" s="291"/>
      <c r="CA132" s="291"/>
      <c r="CB132" s="97"/>
      <c r="CC132" s="291"/>
      <c r="CD132" s="546"/>
      <c r="CE132" s="546"/>
      <c r="CF132" s="53"/>
      <c r="CG132" s="291"/>
      <c r="CH132" s="291"/>
      <c r="CI132" s="97"/>
      <c r="CJ132" s="291"/>
      <c r="CK132" s="546"/>
      <c r="CL132" s="546"/>
      <c r="CM132" s="53"/>
      <c r="CN132" s="291"/>
      <c r="CO132" s="291"/>
      <c r="CP132" s="97"/>
      <c r="CQ132" s="291"/>
      <c r="CR132" s="546"/>
      <c r="CS132" s="546"/>
      <c r="CT132" s="53"/>
      <c r="CU132" s="291"/>
      <c r="CV132" s="291"/>
      <c r="CW132" s="97"/>
      <c r="CX132" s="291"/>
      <c r="CY132" s="546"/>
      <c r="CZ132" s="546"/>
      <c r="DA132" s="53"/>
      <c r="DB132" s="291"/>
      <c r="DC132" s="291"/>
      <c r="DD132" s="97"/>
      <c r="DE132" s="291"/>
      <c r="DF132" s="546"/>
      <c r="DG132" s="546"/>
      <c r="DH132" s="53"/>
      <c r="DI132" s="291"/>
      <c r="DJ132" s="291"/>
      <c r="DK132" s="97"/>
      <c r="DL132" s="291"/>
      <c r="DM132" s="546"/>
      <c r="DN132" s="546"/>
    </row>
    <row r="133" spans="1:118" ht="191.25">
      <c r="A133" s="19"/>
      <c r="B133" s="526"/>
      <c r="C133" s="527"/>
      <c r="D133" s="233" t="s">
        <v>515</v>
      </c>
      <c r="E133" s="432">
        <v>0.01</v>
      </c>
      <c r="F133" s="187" t="s">
        <v>90</v>
      </c>
      <c r="G133" s="320" t="s">
        <v>469</v>
      </c>
      <c r="H133" s="320" t="s">
        <v>516</v>
      </c>
      <c r="I133" s="187" t="s">
        <v>517</v>
      </c>
      <c r="J133" s="385" t="s">
        <v>518</v>
      </c>
      <c r="K133" s="192">
        <v>44743</v>
      </c>
      <c r="L133" s="192">
        <v>44876</v>
      </c>
      <c r="M133" s="193" t="s">
        <v>97</v>
      </c>
      <c r="N133" s="204" t="s">
        <v>519</v>
      </c>
      <c r="O133" s="193" t="s">
        <v>1268</v>
      </c>
      <c r="P133" s="204" t="s">
        <v>87</v>
      </c>
      <c r="Q133" s="203">
        <v>0.1</v>
      </c>
      <c r="R133" s="216">
        <v>2022</v>
      </c>
      <c r="S133" s="203">
        <v>1</v>
      </c>
      <c r="T133" s="217"/>
      <c r="U133" s="217"/>
      <c r="V133" s="132"/>
      <c r="W133" s="217"/>
      <c r="X133" s="217"/>
      <c r="Y133" s="217"/>
      <c r="Z133" s="217"/>
      <c r="AA133" s="217"/>
      <c r="AB133" s="217">
        <v>1</v>
      </c>
      <c r="AC133" s="328">
        <v>77</v>
      </c>
      <c r="AD133" s="328"/>
      <c r="AE133" s="328"/>
      <c r="AF133" s="328"/>
      <c r="AG133" s="328"/>
      <c r="AH133" s="328"/>
      <c r="AI133" s="328"/>
      <c r="AJ133" s="328"/>
      <c r="AK133" s="328"/>
      <c r="AL133" s="454">
        <f t="shared" si="83"/>
        <v>77</v>
      </c>
      <c r="AM133" s="190">
        <v>77</v>
      </c>
      <c r="AN133" s="321" t="s">
        <v>114</v>
      </c>
      <c r="AO133" s="190"/>
      <c r="AP133" s="321"/>
      <c r="AQ133" s="190"/>
      <c r="AR133" s="321"/>
      <c r="AS133" s="190"/>
      <c r="AT133" s="321"/>
      <c r="AU133" s="190"/>
      <c r="AV133" s="321"/>
      <c r="AW133" s="190"/>
      <c r="AX133" s="321"/>
      <c r="AY133" s="190"/>
      <c r="AZ133" s="321"/>
      <c r="BA133" s="190"/>
      <c r="BB133" s="321"/>
      <c r="BC133" s="190"/>
      <c r="BD133" s="321"/>
      <c r="BE133" s="190"/>
      <c r="BF133" s="321"/>
      <c r="BG133" s="190"/>
      <c r="BH133" s="321"/>
      <c r="BI133" s="190"/>
      <c r="BJ133" s="321"/>
      <c r="BK133" s="190"/>
      <c r="BL133" s="321"/>
      <c r="BM133" s="321"/>
      <c r="BN133" s="321"/>
      <c r="BO133" s="321"/>
      <c r="BP133" s="321"/>
      <c r="BQ133" s="321"/>
      <c r="BR133" s="321"/>
      <c r="BS133" s="190"/>
      <c r="BT133" s="321"/>
      <c r="BU133" s="190"/>
      <c r="BV133" s="321"/>
      <c r="BW133" s="97">
        <f t="shared" si="47"/>
        <v>77</v>
      </c>
      <c r="BX133" s="384"/>
      <c r="BY133" s="53"/>
      <c r="BZ133" s="291"/>
      <c r="CA133" s="291"/>
      <c r="CB133" s="97"/>
      <c r="CC133" s="291"/>
      <c r="CD133" s="546"/>
      <c r="CE133" s="546"/>
      <c r="CF133" s="53"/>
      <c r="CG133" s="291"/>
      <c r="CH133" s="291"/>
      <c r="CI133" s="97"/>
      <c r="CJ133" s="291"/>
      <c r="CK133" s="546"/>
      <c r="CL133" s="546"/>
      <c r="CM133" s="53"/>
      <c r="CN133" s="291"/>
      <c r="CO133" s="291"/>
      <c r="CP133" s="97"/>
      <c r="CQ133" s="291"/>
      <c r="CR133" s="546"/>
      <c r="CS133" s="546"/>
      <c r="CT133" s="53"/>
      <c r="CU133" s="291"/>
      <c r="CV133" s="291"/>
      <c r="CW133" s="97"/>
      <c r="CX133" s="291"/>
      <c r="CY133" s="546"/>
      <c r="CZ133" s="546"/>
      <c r="DA133" s="53"/>
      <c r="DB133" s="291"/>
      <c r="DC133" s="291"/>
      <c r="DD133" s="97"/>
      <c r="DE133" s="291"/>
      <c r="DF133" s="546"/>
      <c r="DG133" s="546"/>
      <c r="DH133" s="53"/>
      <c r="DI133" s="291"/>
      <c r="DJ133" s="291"/>
      <c r="DK133" s="97"/>
      <c r="DL133" s="291"/>
      <c r="DM133" s="546"/>
      <c r="DN133" s="546"/>
    </row>
    <row r="134" spans="1:118" ht="102">
      <c r="A134" s="19"/>
      <c r="B134" s="526"/>
      <c r="C134" s="527"/>
      <c r="D134" s="233" t="s">
        <v>520</v>
      </c>
      <c r="E134" s="432">
        <v>4.0000000000000001E-3</v>
      </c>
      <c r="F134" s="187" t="s">
        <v>90</v>
      </c>
      <c r="G134" s="320" t="s">
        <v>469</v>
      </c>
      <c r="H134" s="187" t="s">
        <v>521</v>
      </c>
      <c r="I134" s="187" t="s">
        <v>522</v>
      </c>
      <c r="J134" s="385" t="s">
        <v>523</v>
      </c>
      <c r="K134" s="207">
        <v>44743</v>
      </c>
      <c r="L134" s="192">
        <v>45291</v>
      </c>
      <c r="M134" s="193" t="s">
        <v>97</v>
      </c>
      <c r="N134" s="193" t="s">
        <v>974</v>
      </c>
      <c r="O134" s="193" t="s">
        <v>1269</v>
      </c>
      <c r="P134" s="193" t="s">
        <v>87</v>
      </c>
      <c r="Q134" s="325">
        <v>0</v>
      </c>
      <c r="R134" s="216">
        <v>2022</v>
      </c>
      <c r="S134" s="203">
        <v>0.5</v>
      </c>
      <c r="T134" s="217">
        <v>1</v>
      </c>
      <c r="U134" s="217"/>
      <c r="V134" s="321"/>
      <c r="W134" s="321"/>
      <c r="X134" s="321"/>
      <c r="Y134" s="321"/>
      <c r="Z134" s="321"/>
      <c r="AA134" s="321"/>
      <c r="AB134" s="325">
        <v>1</v>
      </c>
      <c r="AC134" s="328">
        <v>7.5</v>
      </c>
      <c r="AD134" s="328">
        <v>7.5</v>
      </c>
      <c r="AE134" s="328"/>
      <c r="AF134" s="328"/>
      <c r="AG134" s="328"/>
      <c r="AH134" s="328"/>
      <c r="AI134" s="328"/>
      <c r="AJ134" s="328"/>
      <c r="AK134" s="328"/>
      <c r="AL134" s="454">
        <f t="shared" si="83"/>
        <v>15</v>
      </c>
      <c r="AM134" s="190">
        <v>7.5</v>
      </c>
      <c r="AN134" s="194" t="s">
        <v>80</v>
      </c>
      <c r="AO134" s="190"/>
      <c r="AP134" s="194"/>
      <c r="AQ134" s="190">
        <v>7.5</v>
      </c>
      <c r="AR134" s="194" t="s">
        <v>80</v>
      </c>
      <c r="AS134" s="190"/>
      <c r="AT134" s="194"/>
      <c r="AU134" s="190"/>
      <c r="AV134" s="194"/>
      <c r="AW134" s="190"/>
      <c r="AX134" s="194"/>
      <c r="AY134" s="190"/>
      <c r="AZ134" s="194"/>
      <c r="BA134" s="190"/>
      <c r="BB134" s="194"/>
      <c r="BC134" s="190"/>
      <c r="BD134" s="194"/>
      <c r="BE134" s="190"/>
      <c r="BF134" s="194"/>
      <c r="BG134" s="190"/>
      <c r="BH134" s="194"/>
      <c r="BI134" s="190"/>
      <c r="BJ134" s="194"/>
      <c r="BK134" s="190"/>
      <c r="BL134" s="194"/>
      <c r="BM134" s="321"/>
      <c r="BN134" s="194"/>
      <c r="BO134" s="321"/>
      <c r="BP134" s="194"/>
      <c r="BQ134" s="321"/>
      <c r="BR134" s="194"/>
      <c r="BS134" s="190"/>
      <c r="BT134" s="194"/>
      <c r="BU134" s="190"/>
      <c r="BV134" s="194"/>
      <c r="BW134" s="97">
        <f t="shared" si="47"/>
        <v>15</v>
      </c>
      <c r="BX134" s="384"/>
      <c r="BY134" s="53"/>
      <c r="BZ134" s="291"/>
      <c r="CA134" s="291"/>
      <c r="CB134" s="97"/>
      <c r="CC134" s="291"/>
      <c r="CD134" s="546"/>
      <c r="CE134" s="546"/>
      <c r="CF134" s="53"/>
      <c r="CG134" s="291"/>
      <c r="CH134" s="291"/>
      <c r="CI134" s="97"/>
      <c r="CJ134" s="291"/>
      <c r="CK134" s="546"/>
      <c r="CL134" s="546"/>
      <c r="CM134" s="53"/>
      <c r="CN134" s="291"/>
      <c r="CO134" s="291"/>
      <c r="CP134" s="97"/>
      <c r="CQ134" s="291"/>
      <c r="CR134" s="546"/>
      <c r="CS134" s="546"/>
      <c r="CT134" s="53"/>
      <c r="CU134" s="291"/>
      <c r="CV134" s="291"/>
      <c r="CW134" s="97"/>
      <c r="CX134" s="291"/>
      <c r="CY134" s="546"/>
      <c r="CZ134" s="546"/>
      <c r="DA134" s="53"/>
      <c r="DB134" s="291"/>
      <c r="DC134" s="291"/>
      <c r="DD134" s="97"/>
      <c r="DE134" s="291"/>
      <c r="DF134" s="546"/>
      <c r="DG134" s="546"/>
      <c r="DH134" s="53"/>
      <c r="DI134" s="291"/>
      <c r="DJ134" s="291"/>
      <c r="DK134" s="97"/>
      <c r="DL134" s="291"/>
      <c r="DM134" s="546"/>
      <c r="DN134" s="546"/>
    </row>
    <row r="135" spans="1:118" s="376" customFormat="1" ht="165.75">
      <c r="B135" s="536" t="s">
        <v>977</v>
      </c>
      <c r="C135" s="538">
        <v>0.16</v>
      </c>
      <c r="D135" s="306" t="s">
        <v>968</v>
      </c>
      <c r="E135" s="432">
        <v>5.7999999999999996E-3</v>
      </c>
      <c r="F135" s="438" t="s">
        <v>90</v>
      </c>
      <c r="G135" s="316" t="s">
        <v>524</v>
      </c>
      <c r="H135" s="316" t="s">
        <v>525</v>
      </c>
      <c r="I135" s="438" t="s">
        <v>526</v>
      </c>
      <c r="J135" s="385" t="s">
        <v>527</v>
      </c>
      <c r="K135" s="364">
        <v>44713</v>
      </c>
      <c r="L135" s="156">
        <v>47848</v>
      </c>
      <c r="M135" s="315" t="s">
        <v>97</v>
      </c>
      <c r="N135" s="315" t="s">
        <v>528</v>
      </c>
      <c r="O135" s="315" t="s">
        <v>1034</v>
      </c>
      <c r="P135" s="371" t="s">
        <v>87</v>
      </c>
      <c r="Q135" s="203">
        <v>0.1</v>
      </c>
      <c r="R135" s="206">
        <v>2021</v>
      </c>
      <c r="S135" s="203">
        <v>0.2</v>
      </c>
      <c r="T135" s="203">
        <v>0.25</v>
      </c>
      <c r="U135" s="203">
        <v>0.3</v>
      </c>
      <c r="V135" s="203">
        <v>0.45</v>
      </c>
      <c r="W135" s="203">
        <v>0.5</v>
      </c>
      <c r="X135" s="203">
        <v>0.7</v>
      </c>
      <c r="Y135" s="203">
        <v>0.9</v>
      </c>
      <c r="Z135" s="203">
        <v>0.95</v>
      </c>
      <c r="AA135" s="217">
        <v>1</v>
      </c>
      <c r="AB135" s="217">
        <v>1</v>
      </c>
      <c r="AC135" s="328"/>
      <c r="AD135" s="328"/>
      <c r="AE135" s="328"/>
      <c r="AF135" s="328"/>
      <c r="AG135" s="328"/>
      <c r="AH135" s="328"/>
      <c r="AI135" s="328"/>
      <c r="AJ135" s="328"/>
      <c r="AK135" s="328"/>
      <c r="AL135" s="387" t="str">
        <f t="shared" si="83"/>
        <v/>
      </c>
      <c r="AM135" s="190"/>
      <c r="AN135" s="23" t="s">
        <v>88</v>
      </c>
      <c r="AO135" s="190"/>
      <c r="AP135" s="194"/>
      <c r="AQ135" s="190"/>
      <c r="AR135" s="23" t="s">
        <v>88</v>
      </c>
      <c r="AS135" s="190"/>
      <c r="AT135" s="194"/>
      <c r="AU135" s="190"/>
      <c r="AV135" s="23" t="s">
        <v>88</v>
      </c>
      <c r="AW135" s="190"/>
      <c r="AX135" s="194"/>
      <c r="AY135" s="190"/>
      <c r="AZ135" s="23" t="s">
        <v>88</v>
      </c>
      <c r="BA135" s="190"/>
      <c r="BB135" s="194"/>
      <c r="BC135" s="190"/>
      <c r="BD135" s="23" t="s">
        <v>88</v>
      </c>
      <c r="BE135" s="190"/>
      <c r="BF135" s="194"/>
      <c r="BG135" s="190"/>
      <c r="BH135" s="23" t="s">
        <v>88</v>
      </c>
      <c r="BI135" s="190"/>
      <c r="BJ135" s="194"/>
      <c r="BK135" s="190"/>
      <c r="BL135" s="23" t="s">
        <v>88</v>
      </c>
      <c r="BM135" s="190"/>
      <c r="BN135" s="194"/>
      <c r="BO135" s="190"/>
      <c r="BP135" s="23" t="s">
        <v>88</v>
      </c>
      <c r="BQ135" s="190"/>
      <c r="BR135" s="194"/>
      <c r="BS135" s="190"/>
      <c r="BT135" s="23" t="s">
        <v>88</v>
      </c>
      <c r="BU135" s="190"/>
      <c r="BV135" s="194"/>
      <c r="BW135" s="97" t="str">
        <f t="shared" si="47"/>
        <v/>
      </c>
      <c r="BX135" s="384"/>
      <c r="BY135" s="326"/>
      <c r="BZ135" s="325" t="str">
        <f>IF(BY135="","",IF(IF(OR(P135=[10]Desplegables!$B$5,P135=[10]Desplegables!$B$6,),(Q135-BY135)/(Q135-S135),BY135/S135)&lt;0,0%,IF(IF(OR(P135=[10]Desplegables!$B$5,P135=[10]Desplegables!$B$6,),(Q135-BY135)/(Q135-S135),BY135/S135)&gt;1,100%,IF(OR(P135=[10]Desplegables!$B$5,P135=[10]Desplegables!$B$6,),(Q135-BY135)/(Q135-S135),BY135/S135))))</f>
        <v/>
      </c>
      <c r="CA135" s="325" t="str">
        <f>IF(BY135="","",IF(IF(OR(P135=[10]Desplegables!$B$5,P135=[10]Desplegables!$B$6,),(Q135-BY135)/(Q135-AB135),BY135/AB135)&lt;0,0%,IF(IF(OR(P135=[10]Desplegables!$B$5,P135=[10]Desplegables!$B$6,),(Q135-BY135)/(Q135-AB135),BY135/AB135)&gt;1,100%,IF(OR(P135=[10]Desplegables!$B$5,P135=[10]Desplegables!$B$6,),(Q135-BY135)/(Q135-AB135),BY135/AB135))))</f>
        <v/>
      </c>
      <c r="CB135" s="97"/>
      <c r="CC135" s="325" t="str">
        <f t="shared" ref="CC135" si="84">IF(CB135="","",IF(CB135/SUM(AM135,AO135)&gt;1,100%,CB135/SUM(AM135,AO135)))</f>
        <v/>
      </c>
      <c r="CD135" s="546" t="s">
        <v>956</v>
      </c>
      <c r="CE135" s="546" t="str">
        <f>IFERROR((SUMPRODUCT($E$120:$E$134,CA135:CA162)*100%)/SUM($E$120:$E$134),"")</f>
        <v/>
      </c>
      <c r="CF135" s="326"/>
      <c r="CG135" s="325" t="str">
        <f>IF(CF135="","",IF(IF(OR(P135=[10]Desplegables!$B$5,P135=[10]Desplegables!$B$6,),(Q135-CF135)/(Q135-S135),CF135/S135)&lt;0,0%,IF(IF(OR(P135=[10]Desplegables!$B$5,P135=[10]Desplegables!$B$6,),(Q135-CF135)/(Q135-S135),CF135/S135)&gt;1,100%,IF(OR(P135=[10]Desplegables!$B$5,P135=[10]Desplegables!$B$6,),(Q135-CF135)/(Q135-S135),CF135/S135))))</f>
        <v/>
      </c>
      <c r="CH135" s="325" t="str">
        <f>IF(CF135="","",IF(IF(OR(P135=[10]Desplegables!$B$5,P135=[10]Desplegables!$B$6,),(Q135-CF135)/(Q135-AB135),CF135/AB135)&lt;0,0%,IF(IF(OR(P135=[10]Desplegables!$B$5,P135=[10]Desplegables!$B$6,),(Q135-CF135)/(Q135-AB135),CF135/AB135)&gt;1,100%,IF(OR(P135=[10]Desplegables!$B$5,P135=[10]Desplegables!$B$6,),(Q135-CF135)/(Q135-AB135),CF135/AB135))))</f>
        <v/>
      </c>
      <c r="CI135" s="97"/>
      <c r="CJ135" s="325" t="str">
        <f t="shared" ref="CJ135" si="85">IF(SUM(CB135,CI135)=0,"",IF(SUM(CB135,CI135)/SUM(AM135,AO135)&gt;1,100%,SUM(CB135,CI135)/SUM(AM135,AO135)))</f>
        <v/>
      </c>
      <c r="CK135" s="546" t="str">
        <f>IFERROR((SUMPRODUCT($E$120:$E$134,CG135:CG162)*100%)/SUM($E$120:$E$134),"")</f>
        <v/>
      </c>
      <c r="CL135" s="546" t="str">
        <f>IFERROR((SUMPRODUCT($E$120:$E$134,CH135:CH162)*100%)/SUM($E$120:$E$134),"")</f>
        <v/>
      </c>
      <c r="CM135" s="326"/>
      <c r="CN135" s="325" t="str">
        <f>IF(CM135="","",IF(IF(OR(P135=[10]Desplegables!$B$5,P135=[10]Desplegables!$B$6,),(Q135-CM135)/(Q135-T135),CM135/T135)&lt;0,0%,IF(IF(OR(P135=[10]Desplegables!$B$5,P135=[10]Desplegables!$B$6,),(Q135-CM135)/(Q135-T135),CM135/T135)&gt;1,100%,IF(OR(P135=[10]Desplegables!$B$5,P135=[10]Desplegables!$B$6,),(Q135-CM135)/(Q135-T135),CM135/T135))))</f>
        <v/>
      </c>
      <c r="CO135" s="325" t="str">
        <f>IF(CM135="","",IF(IF(OR(P135=[10]Desplegables!$B$5,P135=[10]Desplegables!$B$6,),(Q135-CM135)/(Q135-AB135),IF(P135=[10]Desplegables!$B$3,AVERAGE(CM135,CF135)/AB135,CM135/AB135))&lt;0,0%,IF(IF(OR(P135=[10]Desplegables!$B$5,P135=[10]Desplegables!$B$6,),(Q135-CM135)/(Q135-AB135),IF(P135=[10]Desplegables!$B$3,AVERAGE(CM135,CF135)/AB135,CM135/AB135))&gt;1,100%,IF(OR(P135=[10]Desplegables!$B$5,P135=[10]Desplegables!$B$6,),(Q135-CM135)/(Q135-AB135),IF(P135=[10]Desplegables!$B$3,AVERAGE(CM135,CF135)/AB135,CM135/AB135)))))</f>
        <v/>
      </c>
      <c r="CP135" s="97"/>
      <c r="CQ135" s="325" t="str">
        <f t="shared" ref="CQ135" si="86">IF(CP135="","",IF(CP135/SUM(AQ135,AS135)&gt;1,100%,CP135/SUM(AQ135,AS135)))</f>
        <v/>
      </c>
      <c r="CR135" s="546" t="str">
        <f>IFERROR((SUMPRODUCT($E$120:$E$134,CN135:CN162)*100%)/SUM($E$120:$E$134),"")</f>
        <v/>
      </c>
      <c r="CS135" s="546" t="str">
        <f>IFERROR((SUMPRODUCT($E$120:$E$134,CO135:CO162)*100%)/SUM($E$120:$E$134),"")</f>
        <v/>
      </c>
      <c r="CT135" s="326"/>
      <c r="CU135" s="325" t="str">
        <f>IF(CT135="","",IF(IF(OR(P135=[10]Desplegables!$B$5,P135=[10]Desplegables!$B$6,),(Q135-CT135)/(Q135-T135),CT135/T135)&lt;0,0%,IF(IF(OR(P135=[10]Desplegables!$B$5,P135=[10]Desplegables!$B$6,),(Q135-CT135)/(Q135-T135),CT135/T135)&gt;1,100%,IF(OR(P135=[10]Desplegables!$B$5,P135=[10]Desplegables!$B$6,),(Q135-CT135)/(Q135-T135),CT135/T135))))</f>
        <v/>
      </c>
      <c r="CV135" s="325" t="str">
        <f>IF(CT135="","",IF(IF(OR(P135=[10]Desplegables!$B$5,P135=[10]Desplegables!$B$6,),(Q135-CT135)/(Q135-AB135),IF(P135=[10]Desplegables!$B$3,AVERAGE(CT135,CF135)/AB135,CT135/AB135))&lt;0,0%,IF(IF(OR(P135=[10]Desplegables!$B$5,P135=[10]Desplegables!$B$6,),(Q135-CT135)/(Q135-AB135),IF(P135=[10]Desplegables!$B$3,AVERAGE(CT135,CF135)/AB135,CT135/AB135))&gt;1,100%,IF(OR(P135=[10]Desplegables!$B$5,P135=[10]Desplegables!$B$6,),(Q135-CT135)/(Q135-AB135),IF(P135=[10]Desplegables!$B$3,AVERAGE(CT135,CF135)/AB135,CT135/AB135)))))</f>
        <v/>
      </c>
      <c r="CW135" s="97"/>
      <c r="CX135" s="325" t="str">
        <f t="shared" ref="CX135" si="87">IF(SUM(CP135,CW135)=0,"",IF(SUM(CP135,CW135)/SUM(AQ135,AS135)&gt;1,100%,SUM(CP135,CW135)/SUM(AQ135,AS135)))</f>
        <v/>
      </c>
      <c r="CY135" s="546" t="str">
        <f>IFERROR((SUMPRODUCT($E$120:$E$134,CU135:CU162)*100%)/SUM($E$120:$E$134),"")</f>
        <v/>
      </c>
      <c r="CZ135" s="546" t="str">
        <f>IFERROR((SUMPRODUCT($E$120:$E$134,CV135:CV162)*100%)/SUM($E$120:$E$134),"")</f>
        <v/>
      </c>
      <c r="DA135" s="326"/>
      <c r="DB135" s="325" t="str">
        <f>IF(DA135="","",IF(IF(OR(P135=[10]Desplegables!$B$5,P135=[10]Desplegables!$B$6,),(Q135-DA135)/(Q135-AB135),IF(P135=[10]Desplegables!$B$3,DA135/U135,DA135/AB135))&lt;0,0%,IF(IF(OR(P135=[10]Desplegables!$B$5,P135=[10]Desplegables!$B$6,),(Q135-DA135)/(Q135-AB135),IF(P135=[10]Desplegables!$B$3,DA135/U135,DA135/AB135))&gt;1,100%,IF(OR(P135=[10]Desplegables!$B$5,P135=[10]Desplegables!$B$6,),(Q135-DA135)/(Q135-AB135),IF(P135=[10]Desplegables!$B$3,DA135/U135,DA135/AB135)))))</f>
        <v/>
      </c>
      <c r="DC135" s="325" t="str">
        <f>IF(DA135="","",IF(IF(OR(P135=[10]Desplegables!$B$5,P135=[10]Desplegables!$B$6,),(Q135-DA135)/(Q135-AB135),IF(P135=[10]Desplegables!$B$3,AVERAGE(DA135,CT135,CF135)/AB135,DA135/AB135))&lt;0,0%,IF(IF(OR(P135=[10]Desplegables!$B$5,P135=[10]Desplegables!$B$6,),(Q135-DA135)/(Q135-AB135),IF(P135=[10]Desplegables!$B$3,AVERAGE(DA135,CT135,CF135)/AB135,DA135/AB135))&gt;1,100%,IF(OR(P135=[10]Desplegables!$B$5,P135=[10]Desplegables!$B$6,),(Q135-DA135)/(Q135-AB135),IF(P135=[10]Desplegables!$B$3,AVERAGE(DA135,CT135,CF135)/AB135,DA135/AB135)))))</f>
        <v/>
      </c>
      <c r="DD135" s="97"/>
      <c r="DE135" s="325" t="str">
        <f t="shared" ref="DE135" si="88">IF(DD135="","",IF(DD135/SUM(BS135,BU135)&gt;1,100%,DD135/SUM(BS135,BU135)))</f>
        <v/>
      </c>
      <c r="DF135" s="546" t="str">
        <f>IFERROR((SUMPRODUCT($E$120:$E$134,DB135:DB162)*100%)/SUM($E$120:$E$134),"")</f>
        <v/>
      </c>
      <c r="DG135" s="546" t="str">
        <f>IFERROR((SUMPRODUCT($E$120:$E$134,DC135:DC162)*100%)/SUM($E$120:$E$134),"")</f>
        <v/>
      </c>
      <c r="DH135" s="326"/>
      <c r="DI135" s="325" t="str">
        <f>IF(DH135="","",IF(IF(OR(P135=[10]Desplegables!$B$5,P135=[10]Desplegables!$B$6,),(Q135-DH135)/(Q135-AB135),IF(P135=[10]Desplegables!$B$3,DH135/U135,DH135/AB135))&lt;0,0%,IF(IF(OR(P135=[10]Desplegables!$B$5,P135=[10]Desplegables!$B$6,),(Q135-DH135)/(Q135-AB135),IF(P135=[10]Desplegables!$B$3,DH135/U135,DH135/AB135))&gt;1,100%,IF(OR(P135=[10]Desplegables!$B$5,P135=[10]Desplegables!$B$6,),(Q135-DH135)/(Q135-AB135),IF(P135=[10]Desplegables!$B$3,DH135/U135,DH135/AB135)))))</f>
        <v/>
      </c>
      <c r="DJ135" s="325" t="str">
        <f>IF(DH135="","",IF(IF(OR(P135=[10]Desplegables!$B$5,P135=[10]Desplegables!$B$6,),(Q135-DH135)/(Q135-AB135),IF(P135=[10]Desplegables!$B$3,AVERAGE(DH135,CT135,CF135)/AB135,DH135/AB135))&lt;0,0%,IF(IF(OR(P135=[10]Desplegables!$B$5,P135=[10]Desplegables!$B$6,),(Q135-DH135)/(Q135-AB135),IF(P135=[10]Desplegables!$B$3,AVERAGE(DH135,CT135,CF135)/AB135,DH135/AB135))&gt;1,100%,IF(OR(P135=[10]Desplegables!$B$5,P135=[10]Desplegables!$B$6,),(Q135-DH135)/(Q135-AB135),IF(P135=[10]Desplegables!$B$3,AVERAGE(DH135,CT135,CF135)/AB135,DH135/AB135)))))</f>
        <v/>
      </c>
      <c r="DK135" s="97"/>
      <c r="DL135" s="325" t="str">
        <f t="shared" ref="DL135" si="89">IF(SUM(DD135,DK135)=0,"",IF(SUM(DD135,DK135)/SUM(BS135,BU135)&gt;1,100%,SUM(DD135,DK135)/SUM(BS135,BU135)))</f>
        <v/>
      </c>
      <c r="DM135" s="546" t="str">
        <f>IFERROR((SUMPRODUCT($E$120:$E$134,DI135:DI162)*100%)/SUM($E$120:$E$134),"")</f>
        <v/>
      </c>
      <c r="DN135" s="546" t="str">
        <f>IFERROR((SUMPRODUCT($E$120:$E$134,DJ135:DJ162)*100%)/SUM($E$120:$E$134),"")</f>
        <v/>
      </c>
    </row>
    <row r="136" spans="1:118" s="376" customFormat="1" ht="140.25">
      <c r="B136" s="536"/>
      <c r="C136" s="539"/>
      <c r="D136" s="306" t="s">
        <v>529</v>
      </c>
      <c r="E136" s="432">
        <v>5.4000000000000003E-3</v>
      </c>
      <c r="F136" s="438" t="s">
        <v>90</v>
      </c>
      <c r="G136" s="316" t="s">
        <v>530</v>
      </c>
      <c r="H136" s="316" t="s">
        <v>138</v>
      </c>
      <c r="I136" s="438" t="s">
        <v>531</v>
      </c>
      <c r="J136" s="385" t="s">
        <v>140</v>
      </c>
      <c r="K136" s="361">
        <v>45078</v>
      </c>
      <c r="L136" s="156">
        <v>47848</v>
      </c>
      <c r="M136" s="315" t="s">
        <v>97</v>
      </c>
      <c r="N136" s="315" t="s">
        <v>532</v>
      </c>
      <c r="O136" s="315" t="s">
        <v>1035</v>
      </c>
      <c r="P136" s="371" t="s">
        <v>87</v>
      </c>
      <c r="Q136" s="203">
        <v>0</v>
      </c>
      <c r="R136" s="206">
        <v>2022</v>
      </c>
      <c r="S136" s="203"/>
      <c r="T136" s="203">
        <v>0.3</v>
      </c>
      <c r="U136" s="203">
        <v>0.4</v>
      </c>
      <c r="V136" s="203">
        <v>0.5</v>
      </c>
      <c r="W136" s="203">
        <v>0.6</v>
      </c>
      <c r="X136" s="203">
        <v>0.7</v>
      </c>
      <c r="Y136" s="203">
        <v>0.8</v>
      </c>
      <c r="Z136" s="203">
        <v>0.9</v>
      </c>
      <c r="AA136" s="217">
        <v>1</v>
      </c>
      <c r="AB136" s="217">
        <v>1</v>
      </c>
      <c r="AC136" s="328"/>
      <c r="AD136" s="328">
        <v>200</v>
      </c>
      <c r="AE136" s="328">
        <v>300</v>
      </c>
      <c r="AF136" s="409"/>
      <c r="AG136" s="328">
        <v>206</v>
      </c>
      <c r="AH136" s="328">
        <v>309</v>
      </c>
      <c r="AI136" s="409"/>
      <c r="AJ136" s="328">
        <v>212</v>
      </c>
      <c r="AK136" s="328">
        <v>318</v>
      </c>
      <c r="AL136" s="387">
        <f t="shared" si="83"/>
        <v>1545</v>
      </c>
      <c r="AM136" s="214"/>
      <c r="AN136" s="194"/>
      <c r="AO136" s="380"/>
      <c r="AP136" s="380"/>
      <c r="AQ136" s="214">
        <v>200</v>
      </c>
      <c r="AR136" s="194" t="s">
        <v>189</v>
      </c>
      <c r="AS136" s="321"/>
      <c r="AT136" s="194"/>
      <c r="AU136" s="214">
        <v>300</v>
      </c>
      <c r="AV136" s="194" t="s">
        <v>189</v>
      </c>
      <c r="AW136" s="321"/>
      <c r="AX136" s="194"/>
      <c r="AY136" s="214"/>
      <c r="AZ136" s="194"/>
      <c r="BA136" s="321"/>
      <c r="BB136" s="194"/>
      <c r="BC136" s="214">
        <v>206</v>
      </c>
      <c r="BD136" s="194" t="s">
        <v>189</v>
      </c>
      <c r="BE136" s="321"/>
      <c r="BF136" s="194"/>
      <c r="BG136" s="214">
        <v>309</v>
      </c>
      <c r="BH136" s="194" t="s">
        <v>189</v>
      </c>
      <c r="BI136" s="408"/>
      <c r="BJ136" s="408"/>
      <c r="BK136" s="214"/>
      <c r="BL136" s="194"/>
      <c r="BM136" s="408"/>
      <c r="BN136" s="194"/>
      <c r="BO136" s="214">
        <v>212</v>
      </c>
      <c r="BP136" s="194" t="s">
        <v>189</v>
      </c>
      <c r="BQ136" s="321"/>
      <c r="BR136" s="194"/>
      <c r="BS136" s="214">
        <v>318</v>
      </c>
      <c r="BT136" s="194" t="s">
        <v>189</v>
      </c>
      <c r="BU136" s="190"/>
      <c r="BV136" s="194"/>
      <c r="BW136" s="97">
        <f t="shared" si="47"/>
        <v>1545</v>
      </c>
      <c r="BX136" s="384"/>
      <c r="BY136" s="326"/>
      <c r="BZ136" s="325"/>
      <c r="CA136" s="325"/>
      <c r="CB136" s="97"/>
      <c r="CC136" s="325"/>
      <c r="CD136" s="546"/>
      <c r="CE136" s="546"/>
      <c r="CF136" s="326"/>
      <c r="CG136" s="325"/>
      <c r="CH136" s="325"/>
      <c r="CI136" s="97"/>
      <c r="CJ136" s="325"/>
      <c r="CK136" s="546"/>
      <c r="CL136" s="546"/>
      <c r="CM136" s="326"/>
      <c r="CN136" s="325"/>
      <c r="CO136" s="325"/>
      <c r="CP136" s="97"/>
      <c r="CQ136" s="325"/>
      <c r="CR136" s="546"/>
      <c r="CS136" s="546"/>
      <c r="CT136" s="326"/>
      <c r="CU136" s="325"/>
      <c r="CV136" s="325"/>
      <c r="CW136" s="97"/>
      <c r="CX136" s="325"/>
      <c r="CY136" s="546"/>
      <c r="CZ136" s="546"/>
      <c r="DA136" s="326"/>
      <c r="DB136" s="325"/>
      <c r="DC136" s="325"/>
      <c r="DD136" s="97"/>
      <c r="DE136" s="325"/>
      <c r="DF136" s="546"/>
      <c r="DG136" s="546"/>
      <c r="DH136" s="326"/>
      <c r="DI136" s="325"/>
      <c r="DJ136" s="325"/>
      <c r="DK136" s="97"/>
      <c r="DL136" s="325"/>
      <c r="DM136" s="546"/>
      <c r="DN136" s="546"/>
    </row>
    <row r="137" spans="1:118" s="376" customFormat="1" ht="171.75" customHeight="1">
      <c r="B137" s="536"/>
      <c r="C137" s="539"/>
      <c r="D137" s="306" t="s">
        <v>969</v>
      </c>
      <c r="E137" s="432">
        <v>5.3E-3</v>
      </c>
      <c r="F137" s="438" t="s">
        <v>90</v>
      </c>
      <c r="G137" s="216" t="s">
        <v>1036</v>
      </c>
      <c r="H137" s="216" t="s">
        <v>1037</v>
      </c>
      <c r="I137" s="438" t="s">
        <v>1038</v>
      </c>
      <c r="J137" s="385" t="s">
        <v>1039</v>
      </c>
      <c r="K137" s="361">
        <v>44958</v>
      </c>
      <c r="L137" s="156">
        <v>47848</v>
      </c>
      <c r="M137" s="315" t="s">
        <v>97</v>
      </c>
      <c r="N137" s="315" t="s">
        <v>533</v>
      </c>
      <c r="O137" s="315" t="s">
        <v>1040</v>
      </c>
      <c r="P137" s="371" t="s">
        <v>87</v>
      </c>
      <c r="Q137" s="203">
        <v>0.2</v>
      </c>
      <c r="R137" s="206">
        <v>2021</v>
      </c>
      <c r="S137" s="203"/>
      <c r="T137" s="203">
        <v>0.3</v>
      </c>
      <c r="U137" s="203">
        <v>0.4</v>
      </c>
      <c r="V137" s="203">
        <v>0.6</v>
      </c>
      <c r="W137" s="203">
        <v>0.5</v>
      </c>
      <c r="X137" s="203">
        <v>0.7</v>
      </c>
      <c r="Y137" s="203">
        <v>0.8</v>
      </c>
      <c r="Z137" s="203">
        <v>0.9</v>
      </c>
      <c r="AA137" s="203">
        <v>1</v>
      </c>
      <c r="AB137" s="203">
        <v>1</v>
      </c>
      <c r="AC137" s="328"/>
      <c r="AD137" s="334"/>
      <c r="AE137" s="334"/>
      <c r="AF137" s="334"/>
      <c r="AG137" s="334"/>
      <c r="AH137" s="334"/>
      <c r="AI137" s="334"/>
      <c r="AJ137" s="334"/>
      <c r="AK137" s="334"/>
      <c r="AL137" s="387" t="str">
        <f t="shared" si="83"/>
        <v/>
      </c>
      <c r="AM137" s="338"/>
      <c r="AN137" s="316"/>
      <c r="AO137" s="338"/>
      <c r="AP137" s="338"/>
      <c r="AQ137" s="338"/>
      <c r="AR137" s="316" t="s">
        <v>88</v>
      </c>
      <c r="AS137" s="338"/>
      <c r="AT137" s="338"/>
      <c r="AU137" s="338"/>
      <c r="AV137" s="316" t="s">
        <v>88</v>
      </c>
      <c r="AW137" s="338"/>
      <c r="AX137" s="338"/>
      <c r="AY137" s="338"/>
      <c r="AZ137" s="316" t="s">
        <v>88</v>
      </c>
      <c r="BA137" s="338"/>
      <c r="BB137" s="338"/>
      <c r="BC137" s="338"/>
      <c r="BD137" s="316" t="s">
        <v>88</v>
      </c>
      <c r="BE137" s="338"/>
      <c r="BF137" s="338"/>
      <c r="BG137" s="338"/>
      <c r="BH137" s="316" t="s">
        <v>88</v>
      </c>
      <c r="BI137" s="338"/>
      <c r="BJ137" s="338"/>
      <c r="BK137" s="338"/>
      <c r="BL137" s="316" t="s">
        <v>88</v>
      </c>
      <c r="BM137" s="338"/>
      <c r="BN137" s="338"/>
      <c r="BO137" s="338"/>
      <c r="BP137" s="316" t="s">
        <v>88</v>
      </c>
      <c r="BQ137" s="338"/>
      <c r="BR137" s="338"/>
      <c r="BS137" s="338"/>
      <c r="BT137" s="316" t="s">
        <v>88</v>
      </c>
      <c r="BU137" s="338"/>
      <c r="BV137" s="338"/>
      <c r="BW137" s="97" t="str">
        <f t="shared" si="47"/>
        <v/>
      </c>
      <c r="BX137" s="384"/>
      <c r="BY137" s="326"/>
      <c r="BZ137" s="325"/>
      <c r="CA137" s="325"/>
      <c r="CB137" s="97"/>
      <c r="CC137" s="325"/>
      <c r="CD137" s="546"/>
      <c r="CE137" s="546"/>
      <c r="CF137" s="326"/>
      <c r="CG137" s="325"/>
      <c r="CH137" s="325"/>
      <c r="CI137" s="97"/>
      <c r="CJ137" s="325"/>
      <c r="CK137" s="546"/>
      <c r="CL137" s="546"/>
      <c r="CM137" s="326"/>
      <c r="CN137" s="325"/>
      <c r="CO137" s="325"/>
      <c r="CP137" s="97"/>
      <c r="CQ137" s="325"/>
      <c r="CR137" s="546"/>
      <c r="CS137" s="546"/>
      <c r="CT137" s="326"/>
      <c r="CU137" s="325"/>
      <c r="CV137" s="325"/>
      <c r="CW137" s="97"/>
      <c r="CX137" s="325"/>
      <c r="CY137" s="546"/>
      <c r="CZ137" s="546"/>
      <c r="DA137" s="326"/>
      <c r="DB137" s="325"/>
      <c r="DC137" s="325"/>
      <c r="DD137" s="97"/>
      <c r="DE137" s="325"/>
      <c r="DF137" s="546"/>
      <c r="DG137" s="546"/>
      <c r="DH137" s="326"/>
      <c r="DI137" s="325"/>
      <c r="DJ137" s="325"/>
      <c r="DK137" s="97"/>
      <c r="DL137" s="325"/>
      <c r="DM137" s="546"/>
      <c r="DN137" s="546"/>
    </row>
    <row r="138" spans="1:118" ht="204">
      <c r="A138" s="19"/>
      <c r="B138" s="536"/>
      <c r="C138" s="539"/>
      <c r="D138" s="306" t="s">
        <v>1041</v>
      </c>
      <c r="E138" s="432">
        <v>5.7999999999999996E-3</v>
      </c>
      <c r="F138" s="187" t="s">
        <v>90</v>
      </c>
      <c r="G138" s="136" t="s">
        <v>469</v>
      </c>
      <c r="H138" s="136" t="s">
        <v>534</v>
      </c>
      <c r="I138" s="187" t="s">
        <v>535</v>
      </c>
      <c r="J138" s="385" t="s">
        <v>536</v>
      </c>
      <c r="K138" s="207">
        <v>44713</v>
      </c>
      <c r="L138" s="156">
        <v>47848</v>
      </c>
      <c r="M138" s="193" t="s">
        <v>97</v>
      </c>
      <c r="N138" s="193" t="s">
        <v>537</v>
      </c>
      <c r="O138" s="193" t="s">
        <v>1270</v>
      </c>
      <c r="P138" s="193" t="s">
        <v>87</v>
      </c>
      <c r="Q138" s="203">
        <v>0</v>
      </c>
      <c r="R138" s="206">
        <v>2022</v>
      </c>
      <c r="S138" s="359">
        <v>0.05</v>
      </c>
      <c r="T138" s="359">
        <v>0.25</v>
      </c>
      <c r="U138" s="359">
        <v>0.5</v>
      </c>
      <c r="V138" s="359">
        <v>0.75</v>
      </c>
      <c r="W138" s="359">
        <v>0.96</v>
      </c>
      <c r="X138" s="359">
        <v>0.97</v>
      </c>
      <c r="Y138" s="359">
        <v>0.98</v>
      </c>
      <c r="Z138" s="359">
        <v>0.99</v>
      </c>
      <c r="AA138" s="359">
        <v>1</v>
      </c>
      <c r="AB138" s="359">
        <v>1</v>
      </c>
      <c r="AC138" s="328"/>
      <c r="AD138" s="328"/>
      <c r="AE138" s="328"/>
      <c r="AF138" s="328"/>
      <c r="AG138" s="328"/>
      <c r="AH138" s="328"/>
      <c r="AI138" s="328"/>
      <c r="AJ138" s="328"/>
      <c r="AK138" s="328"/>
      <c r="AL138" s="454" t="str">
        <f t="shared" si="83"/>
        <v/>
      </c>
      <c r="AM138" s="190"/>
      <c r="AN138" s="194" t="s">
        <v>88</v>
      </c>
      <c r="AO138" s="190"/>
      <c r="AP138" s="194"/>
      <c r="AQ138" s="190"/>
      <c r="AR138" s="194" t="s">
        <v>88</v>
      </c>
      <c r="AS138" s="190"/>
      <c r="AT138" s="194"/>
      <c r="AU138" s="190"/>
      <c r="AV138" s="194" t="s">
        <v>88</v>
      </c>
      <c r="AW138" s="190"/>
      <c r="AX138" s="194"/>
      <c r="AY138" s="190"/>
      <c r="AZ138" s="194" t="s">
        <v>88</v>
      </c>
      <c r="BA138" s="190"/>
      <c r="BB138" s="194"/>
      <c r="BC138" s="190"/>
      <c r="BD138" s="194" t="s">
        <v>88</v>
      </c>
      <c r="BE138" s="190"/>
      <c r="BF138" s="194"/>
      <c r="BG138" s="190"/>
      <c r="BH138" s="194" t="s">
        <v>88</v>
      </c>
      <c r="BI138" s="190"/>
      <c r="BJ138" s="194"/>
      <c r="BK138" s="190"/>
      <c r="BL138" s="194" t="s">
        <v>88</v>
      </c>
      <c r="BM138" s="190"/>
      <c r="BN138" s="194"/>
      <c r="BO138" s="190"/>
      <c r="BP138" s="194" t="s">
        <v>88</v>
      </c>
      <c r="BQ138" s="190"/>
      <c r="BR138" s="194"/>
      <c r="BS138" s="190"/>
      <c r="BT138" s="194" t="s">
        <v>88</v>
      </c>
      <c r="BU138" s="190"/>
      <c r="BV138" s="194"/>
      <c r="BW138" s="97" t="str">
        <f t="shared" si="47"/>
        <v/>
      </c>
      <c r="BX138" s="384"/>
      <c r="BY138" s="305"/>
      <c r="BZ138" s="291"/>
      <c r="CA138" s="291"/>
      <c r="CB138" s="97"/>
      <c r="CC138" s="291"/>
      <c r="CD138" s="546"/>
      <c r="CE138" s="546"/>
      <c r="CF138" s="305"/>
      <c r="CG138" s="291"/>
      <c r="CH138" s="291"/>
      <c r="CI138" s="97"/>
      <c r="CJ138" s="291"/>
      <c r="CK138" s="546"/>
      <c r="CL138" s="546"/>
      <c r="CM138" s="305"/>
      <c r="CN138" s="291"/>
      <c r="CO138" s="291"/>
      <c r="CP138" s="97"/>
      <c r="CQ138" s="291"/>
      <c r="CR138" s="546"/>
      <c r="CS138" s="546"/>
      <c r="CT138" s="305"/>
      <c r="CU138" s="291"/>
      <c r="CV138" s="291"/>
      <c r="CW138" s="97"/>
      <c r="CX138" s="291"/>
      <c r="CY138" s="546"/>
      <c r="CZ138" s="546"/>
      <c r="DA138" s="305"/>
      <c r="DB138" s="291"/>
      <c r="DC138" s="291"/>
      <c r="DD138" s="97"/>
      <c r="DE138" s="291"/>
      <c r="DF138" s="546"/>
      <c r="DG138" s="546"/>
      <c r="DH138" s="305"/>
      <c r="DI138" s="291"/>
      <c r="DJ138" s="291"/>
      <c r="DK138" s="97"/>
      <c r="DL138" s="291"/>
      <c r="DM138" s="546"/>
      <c r="DN138" s="546"/>
    </row>
    <row r="139" spans="1:118" s="376" customFormat="1" ht="51">
      <c r="B139" s="536"/>
      <c r="C139" s="539"/>
      <c r="D139" s="306" t="s">
        <v>1447</v>
      </c>
      <c r="E139" s="432">
        <v>5.7999999999999996E-3</v>
      </c>
      <c r="F139" s="438" t="s">
        <v>90</v>
      </c>
      <c r="G139" s="316" t="s">
        <v>1042</v>
      </c>
      <c r="H139" s="438" t="s">
        <v>1043</v>
      </c>
      <c r="I139" s="438" t="s">
        <v>1044</v>
      </c>
      <c r="J139" s="385" t="s">
        <v>538</v>
      </c>
      <c r="K139" s="362">
        <v>44743</v>
      </c>
      <c r="L139" s="362">
        <v>47848</v>
      </c>
      <c r="M139" s="315" t="s">
        <v>97</v>
      </c>
      <c r="N139" s="315" t="s">
        <v>1045</v>
      </c>
      <c r="O139" s="315" t="s">
        <v>1046</v>
      </c>
      <c r="P139" s="315" t="s">
        <v>87</v>
      </c>
      <c r="Q139" s="194">
        <v>42</v>
      </c>
      <c r="R139" s="206">
        <v>2021</v>
      </c>
      <c r="S139" s="194">
        <v>15</v>
      </c>
      <c r="T139" s="194">
        <v>30</v>
      </c>
      <c r="U139" s="194">
        <v>45</v>
      </c>
      <c r="V139" s="194">
        <v>60</v>
      </c>
      <c r="W139" s="194">
        <v>75</v>
      </c>
      <c r="X139" s="194">
        <v>90</v>
      </c>
      <c r="Y139" s="194">
        <v>105</v>
      </c>
      <c r="Z139" s="194">
        <v>120</v>
      </c>
      <c r="AA139" s="194">
        <v>135</v>
      </c>
      <c r="AB139" s="194">
        <v>135</v>
      </c>
      <c r="AC139" s="227">
        <v>700</v>
      </c>
      <c r="AD139" s="227">
        <v>750</v>
      </c>
      <c r="AE139" s="227">
        <v>800</v>
      </c>
      <c r="AF139" s="227">
        <v>850</v>
      </c>
      <c r="AG139" s="227">
        <v>900</v>
      </c>
      <c r="AH139" s="227">
        <v>950</v>
      </c>
      <c r="AI139" s="227">
        <v>1000</v>
      </c>
      <c r="AJ139" s="227">
        <v>1050</v>
      </c>
      <c r="AK139" s="227">
        <v>1100</v>
      </c>
      <c r="AL139" s="387">
        <v>8100</v>
      </c>
      <c r="AM139" s="485">
        <v>700</v>
      </c>
      <c r="AN139" s="190" t="s">
        <v>80</v>
      </c>
      <c r="AO139" s="190"/>
      <c r="AP139" s="194"/>
      <c r="AQ139" s="485">
        <v>750</v>
      </c>
      <c r="AR139" s="190" t="s">
        <v>80</v>
      </c>
      <c r="AS139" s="190"/>
      <c r="AT139" s="194"/>
      <c r="AU139" s="485">
        <v>800</v>
      </c>
      <c r="AV139" s="190" t="s">
        <v>80</v>
      </c>
      <c r="AW139" s="190"/>
      <c r="AX139" s="194"/>
      <c r="AY139" s="485">
        <v>850</v>
      </c>
      <c r="AZ139" s="190" t="s">
        <v>80</v>
      </c>
      <c r="BA139" s="190"/>
      <c r="BB139" s="194"/>
      <c r="BC139" s="485">
        <v>900</v>
      </c>
      <c r="BD139" s="190" t="s">
        <v>80</v>
      </c>
      <c r="BE139" s="190"/>
      <c r="BF139" s="194"/>
      <c r="BG139" s="485">
        <v>950</v>
      </c>
      <c r="BH139" s="190" t="s">
        <v>80</v>
      </c>
      <c r="BI139" s="190"/>
      <c r="BJ139" s="194"/>
      <c r="BK139" s="485">
        <v>1000</v>
      </c>
      <c r="BL139" s="190" t="s">
        <v>80</v>
      </c>
      <c r="BM139" s="190"/>
      <c r="BN139" s="194"/>
      <c r="BO139" s="485">
        <v>1050</v>
      </c>
      <c r="BP139" s="190" t="s">
        <v>80</v>
      </c>
      <c r="BQ139" s="190"/>
      <c r="BR139" s="194"/>
      <c r="BS139" s="485">
        <v>1100</v>
      </c>
      <c r="BT139" s="190" t="s">
        <v>80</v>
      </c>
      <c r="BU139" s="190"/>
      <c r="BV139" s="194"/>
      <c r="BW139" s="97">
        <f t="shared" ref="BW139:BW200" si="90">IF(SUM(AM139:BV139)=0,"",SUM(AM139:BV139))</f>
        <v>8100</v>
      </c>
      <c r="BX139" s="384"/>
      <c r="BY139" s="439"/>
      <c r="BZ139" s="45"/>
      <c r="CA139" s="45"/>
      <c r="CB139" s="97"/>
      <c r="CC139" s="45"/>
      <c r="CD139" s="546"/>
      <c r="CE139" s="546"/>
      <c r="CF139" s="439"/>
      <c r="CG139" s="45"/>
      <c r="CH139" s="45"/>
      <c r="CI139" s="97"/>
      <c r="CJ139" s="45"/>
      <c r="CK139" s="546"/>
      <c r="CL139" s="546"/>
      <c r="CM139" s="439"/>
      <c r="CN139" s="45"/>
      <c r="CO139" s="45"/>
      <c r="CP139" s="97"/>
      <c r="CQ139" s="45"/>
      <c r="CR139" s="546"/>
      <c r="CS139" s="546"/>
      <c r="CT139" s="439"/>
      <c r="CU139" s="45"/>
      <c r="CV139" s="45"/>
      <c r="CW139" s="97"/>
      <c r="CX139" s="45"/>
      <c r="CY139" s="546"/>
      <c r="CZ139" s="546"/>
      <c r="DA139" s="439"/>
      <c r="DB139" s="45"/>
      <c r="DC139" s="45"/>
      <c r="DD139" s="97"/>
      <c r="DE139" s="45"/>
      <c r="DF139" s="546"/>
      <c r="DG139" s="546"/>
      <c r="DH139" s="439"/>
      <c r="DI139" s="45"/>
      <c r="DJ139" s="45"/>
      <c r="DK139" s="97"/>
      <c r="DL139" s="45"/>
      <c r="DM139" s="546"/>
      <c r="DN139" s="546"/>
    </row>
    <row r="140" spans="1:118" s="376" customFormat="1" ht="140.25">
      <c r="B140" s="536"/>
      <c r="C140" s="539"/>
      <c r="D140" s="366" t="s">
        <v>1448</v>
      </c>
      <c r="E140" s="432">
        <v>5.4000000000000003E-3</v>
      </c>
      <c r="F140" s="316" t="s">
        <v>90</v>
      </c>
      <c r="G140" s="316" t="s">
        <v>1047</v>
      </c>
      <c r="H140" s="316" t="s">
        <v>1048</v>
      </c>
      <c r="I140" s="316" t="s">
        <v>1049</v>
      </c>
      <c r="J140" s="385" t="s">
        <v>1050</v>
      </c>
      <c r="K140" s="362">
        <v>44713</v>
      </c>
      <c r="L140" s="361">
        <v>46022</v>
      </c>
      <c r="M140" s="316" t="s">
        <v>97</v>
      </c>
      <c r="N140" s="316" t="s">
        <v>1051</v>
      </c>
      <c r="O140" s="316" t="s">
        <v>1052</v>
      </c>
      <c r="P140" s="316" t="s">
        <v>87</v>
      </c>
      <c r="Q140" s="428">
        <v>0</v>
      </c>
      <c r="R140" s="316">
        <v>2021</v>
      </c>
      <c r="S140" s="367">
        <v>0.3</v>
      </c>
      <c r="T140" s="367">
        <v>0.6</v>
      </c>
      <c r="U140" s="367">
        <v>0.8</v>
      </c>
      <c r="V140" s="367">
        <v>1</v>
      </c>
      <c r="W140" s="316" t="s">
        <v>81</v>
      </c>
      <c r="X140" s="316" t="s">
        <v>81</v>
      </c>
      <c r="Y140" s="316" t="s">
        <v>81</v>
      </c>
      <c r="Z140" s="316" t="s">
        <v>81</v>
      </c>
      <c r="AA140" s="316" t="s">
        <v>81</v>
      </c>
      <c r="AB140" s="367">
        <v>1</v>
      </c>
      <c r="AC140" s="486">
        <v>184.82432800000001</v>
      </c>
      <c r="AD140" s="487">
        <v>21.84</v>
      </c>
      <c r="AE140" s="486">
        <v>237.32822048</v>
      </c>
      <c r="AF140" s="486">
        <v>280.39307811840001</v>
      </c>
      <c r="AG140" s="328"/>
      <c r="AH140" s="328"/>
      <c r="AI140" s="328"/>
      <c r="AJ140" s="328"/>
      <c r="AK140" s="328"/>
      <c r="AL140" s="467">
        <f t="shared" si="83"/>
        <v>724.38562659839999</v>
      </c>
      <c r="AM140" s="486">
        <v>184.82432800000001</v>
      </c>
      <c r="AN140" s="190" t="s">
        <v>80</v>
      </c>
      <c r="AO140" s="190"/>
      <c r="AP140" s="194"/>
      <c r="AQ140" s="487">
        <v>21.84</v>
      </c>
      <c r="AR140" s="190" t="s">
        <v>80</v>
      </c>
      <c r="AS140" s="190"/>
      <c r="AT140" s="194"/>
      <c r="AU140" s="486">
        <v>237.32822048</v>
      </c>
      <c r="AV140" s="190" t="s">
        <v>80</v>
      </c>
      <c r="AW140" s="190"/>
      <c r="AX140" s="194"/>
      <c r="AY140" s="486">
        <v>280.39307811840001</v>
      </c>
      <c r="AZ140" s="190" t="s">
        <v>80</v>
      </c>
      <c r="BA140" s="190"/>
      <c r="BB140" s="194"/>
      <c r="BC140" s="321"/>
      <c r="BD140" s="194"/>
      <c r="BE140" s="321"/>
      <c r="BF140" s="194"/>
      <c r="BG140" s="321"/>
      <c r="BH140" s="194"/>
      <c r="BI140" s="321"/>
      <c r="BJ140" s="194"/>
      <c r="BK140" s="321"/>
      <c r="BL140" s="194"/>
      <c r="BM140" s="321"/>
      <c r="BN140" s="194"/>
      <c r="BO140" s="321"/>
      <c r="BP140" s="194"/>
      <c r="BQ140" s="321"/>
      <c r="BR140" s="194"/>
      <c r="BS140" s="190"/>
      <c r="BT140" s="194"/>
      <c r="BU140" s="190"/>
      <c r="BV140" s="194"/>
      <c r="BW140" s="97">
        <f t="shared" si="90"/>
        <v>724.38562659839999</v>
      </c>
      <c r="BX140" s="384"/>
      <c r="BY140" s="439"/>
      <c r="BZ140" s="45"/>
      <c r="CA140" s="45"/>
      <c r="CB140" s="97"/>
      <c r="CC140" s="45"/>
      <c r="CD140" s="546"/>
      <c r="CE140" s="546"/>
      <c r="CF140" s="439"/>
      <c r="CG140" s="45"/>
      <c r="CH140" s="45"/>
      <c r="CI140" s="97"/>
      <c r="CJ140" s="45"/>
      <c r="CK140" s="546"/>
      <c r="CL140" s="546"/>
      <c r="CM140" s="439"/>
      <c r="CN140" s="45"/>
      <c r="CO140" s="45"/>
      <c r="CP140" s="97"/>
      <c r="CQ140" s="45"/>
      <c r="CR140" s="546"/>
      <c r="CS140" s="546"/>
      <c r="CT140" s="439"/>
      <c r="CU140" s="45"/>
      <c r="CV140" s="45"/>
      <c r="CW140" s="97"/>
      <c r="CX140" s="45"/>
      <c r="CY140" s="546"/>
      <c r="CZ140" s="546"/>
      <c r="DA140" s="439"/>
      <c r="DB140" s="45"/>
      <c r="DC140" s="45"/>
      <c r="DD140" s="97"/>
      <c r="DE140" s="45"/>
      <c r="DF140" s="546"/>
      <c r="DG140" s="546"/>
      <c r="DH140" s="439"/>
      <c r="DI140" s="45"/>
      <c r="DJ140" s="45"/>
      <c r="DK140" s="97"/>
      <c r="DL140" s="45"/>
      <c r="DM140" s="546"/>
      <c r="DN140" s="546"/>
    </row>
    <row r="141" spans="1:118" s="343" customFormat="1" ht="102">
      <c r="B141" s="536"/>
      <c r="C141" s="539"/>
      <c r="D141" s="377" t="s">
        <v>1057</v>
      </c>
      <c r="E141" s="432">
        <v>5.7999999999999996E-3</v>
      </c>
      <c r="F141" s="316" t="s">
        <v>90</v>
      </c>
      <c r="G141" s="316" t="s">
        <v>1053</v>
      </c>
      <c r="H141" s="316" t="s">
        <v>1054</v>
      </c>
      <c r="I141" s="316" t="s">
        <v>1055</v>
      </c>
      <c r="J141" s="385" t="s">
        <v>1056</v>
      </c>
      <c r="K141" s="362">
        <v>44928</v>
      </c>
      <c r="L141" s="192">
        <v>46022</v>
      </c>
      <c r="M141" s="316" t="s">
        <v>539</v>
      </c>
      <c r="N141" s="316" t="s">
        <v>1058</v>
      </c>
      <c r="O141" s="316" t="s">
        <v>1059</v>
      </c>
      <c r="P141" s="316" t="s">
        <v>540</v>
      </c>
      <c r="Q141" s="428">
        <v>0</v>
      </c>
      <c r="R141" s="316">
        <v>2022</v>
      </c>
      <c r="S141" s="316" t="s">
        <v>81</v>
      </c>
      <c r="T141" s="428">
        <v>0.7</v>
      </c>
      <c r="U141" s="428">
        <v>0.9</v>
      </c>
      <c r="V141" s="428">
        <v>1</v>
      </c>
      <c r="W141" s="316" t="s">
        <v>81</v>
      </c>
      <c r="X141" s="316" t="s">
        <v>81</v>
      </c>
      <c r="Y141" s="316" t="s">
        <v>81</v>
      </c>
      <c r="Z141" s="316" t="s">
        <v>81</v>
      </c>
      <c r="AA141" s="316" t="s">
        <v>81</v>
      </c>
      <c r="AB141" s="428">
        <v>1</v>
      </c>
      <c r="AC141" s="333" t="s">
        <v>81</v>
      </c>
      <c r="AD141" s="333">
        <v>307</v>
      </c>
      <c r="AE141" s="333">
        <v>2.637</v>
      </c>
      <c r="AF141" s="333">
        <v>2.7120000000000002</v>
      </c>
      <c r="AG141" s="333" t="s">
        <v>81</v>
      </c>
      <c r="AH141" s="333" t="s">
        <v>81</v>
      </c>
      <c r="AI141" s="333" t="s">
        <v>81</v>
      </c>
      <c r="AJ141" s="333" t="s">
        <v>81</v>
      </c>
      <c r="AK141" s="333" t="s">
        <v>81</v>
      </c>
      <c r="AL141" s="467">
        <f t="shared" si="83"/>
        <v>312.34899999999999</v>
      </c>
      <c r="AM141" s="316" t="s">
        <v>81</v>
      </c>
      <c r="AN141" s="316" t="s">
        <v>81</v>
      </c>
      <c r="AO141" s="316" t="s">
        <v>81</v>
      </c>
      <c r="AP141" s="316" t="s">
        <v>81</v>
      </c>
      <c r="AQ141" s="461">
        <v>307</v>
      </c>
      <c r="AR141" s="316" t="s">
        <v>126</v>
      </c>
      <c r="AS141" s="316" t="s">
        <v>81</v>
      </c>
      <c r="AT141" s="316" t="s">
        <v>81</v>
      </c>
      <c r="AU141" s="316">
        <v>2.637</v>
      </c>
      <c r="AV141" s="316" t="s">
        <v>126</v>
      </c>
      <c r="AW141" s="316" t="s">
        <v>81</v>
      </c>
      <c r="AX141" s="316" t="s">
        <v>81</v>
      </c>
      <c r="AY141" s="316">
        <v>2.7120000000000002</v>
      </c>
      <c r="AZ141" s="316" t="s">
        <v>126</v>
      </c>
      <c r="BA141" s="321"/>
      <c r="BB141" s="194"/>
      <c r="BC141" s="321"/>
      <c r="BD141" s="194"/>
      <c r="BE141" s="321"/>
      <c r="BF141" s="194"/>
      <c r="BG141" s="321"/>
      <c r="BH141" s="194"/>
      <c r="BI141" s="321"/>
      <c r="BJ141" s="194"/>
      <c r="BK141" s="321"/>
      <c r="BL141" s="194"/>
      <c r="BM141" s="321"/>
      <c r="BN141" s="194"/>
      <c r="BO141" s="321"/>
      <c r="BP141" s="194"/>
      <c r="BQ141" s="321"/>
      <c r="BR141" s="194"/>
      <c r="BS141" s="190"/>
      <c r="BT141" s="194"/>
      <c r="BU141" s="190"/>
      <c r="BV141" s="194"/>
      <c r="BW141" s="97">
        <f t="shared" si="90"/>
        <v>312.34899999999999</v>
      </c>
      <c r="BX141" s="450"/>
      <c r="BY141" s="313"/>
      <c r="BZ141" s="45"/>
      <c r="CA141" s="45"/>
      <c r="CB141" s="97"/>
      <c r="CC141" s="45"/>
      <c r="CD141" s="546"/>
      <c r="CE141" s="546"/>
      <c r="CF141" s="313"/>
      <c r="CG141" s="45"/>
      <c r="CH141" s="45"/>
      <c r="CI141" s="97"/>
      <c r="CJ141" s="45"/>
      <c r="CK141" s="546"/>
      <c r="CL141" s="546"/>
      <c r="CM141" s="313"/>
      <c r="CN141" s="45"/>
      <c r="CO141" s="45"/>
      <c r="CP141" s="97"/>
      <c r="CQ141" s="45"/>
      <c r="CR141" s="546"/>
      <c r="CS141" s="546"/>
      <c r="CT141" s="313"/>
      <c r="CU141" s="45"/>
      <c r="CV141" s="45"/>
      <c r="CW141" s="97"/>
      <c r="CX141" s="45"/>
      <c r="CY141" s="546"/>
      <c r="CZ141" s="546"/>
      <c r="DA141" s="313"/>
      <c r="DB141" s="45"/>
      <c r="DC141" s="45"/>
      <c r="DD141" s="97"/>
      <c r="DE141" s="45"/>
      <c r="DF141" s="546"/>
      <c r="DG141" s="546"/>
      <c r="DH141" s="313"/>
      <c r="DI141" s="45"/>
      <c r="DJ141" s="45"/>
      <c r="DK141" s="97"/>
      <c r="DL141" s="45"/>
      <c r="DM141" s="546"/>
      <c r="DN141" s="546"/>
    </row>
    <row r="142" spans="1:118" s="343" customFormat="1" ht="51">
      <c r="B142" s="536"/>
      <c r="C142" s="539"/>
      <c r="D142" s="377" t="s">
        <v>541</v>
      </c>
      <c r="E142" s="432">
        <v>5.7999999999999996E-3</v>
      </c>
      <c r="F142" s="316" t="s">
        <v>90</v>
      </c>
      <c r="G142" s="316" t="s">
        <v>1053</v>
      </c>
      <c r="H142" s="316" t="s">
        <v>1054</v>
      </c>
      <c r="I142" s="316" t="s">
        <v>1055</v>
      </c>
      <c r="J142" s="385" t="s">
        <v>1056</v>
      </c>
      <c r="K142" s="362">
        <v>44928</v>
      </c>
      <c r="L142" s="362">
        <v>47489</v>
      </c>
      <c r="M142" s="316" t="s">
        <v>97</v>
      </c>
      <c r="N142" s="316" t="s">
        <v>1061</v>
      </c>
      <c r="O142" s="316" t="s">
        <v>1060</v>
      </c>
      <c r="P142" s="316" t="s">
        <v>125</v>
      </c>
      <c r="Q142" s="316">
        <v>0</v>
      </c>
      <c r="R142" s="316">
        <v>2022</v>
      </c>
      <c r="S142" s="316" t="s">
        <v>81</v>
      </c>
      <c r="T142" s="316">
        <v>1</v>
      </c>
      <c r="U142" s="316">
        <v>1</v>
      </c>
      <c r="V142" s="316">
        <v>1</v>
      </c>
      <c r="W142" s="316">
        <v>1</v>
      </c>
      <c r="X142" s="316">
        <v>1</v>
      </c>
      <c r="Y142" s="316">
        <v>1</v>
      </c>
      <c r="Z142" s="316">
        <v>1</v>
      </c>
      <c r="AA142" s="316">
        <v>1</v>
      </c>
      <c r="AB142" s="316">
        <v>1</v>
      </c>
      <c r="AC142" s="333" t="s">
        <v>81</v>
      </c>
      <c r="AD142" s="333">
        <v>1.218</v>
      </c>
      <c r="AE142" s="333">
        <v>1.2549999999999999</v>
      </c>
      <c r="AF142" s="333">
        <v>1.2929999999999999</v>
      </c>
      <c r="AG142" s="333">
        <v>1.331</v>
      </c>
      <c r="AH142" s="333">
        <v>1.371</v>
      </c>
      <c r="AI142" s="333">
        <v>1.4119999999999999</v>
      </c>
      <c r="AJ142" s="333">
        <v>1.454</v>
      </c>
      <c r="AK142" s="333">
        <v>1.498</v>
      </c>
      <c r="AL142" s="467">
        <f t="shared" si="83"/>
        <v>10.831999999999999</v>
      </c>
      <c r="AM142" s="467" t="s">
        <v>81</v>
      </c>
      <c r="AN142" s="467"/>
      <c r="AO142" s="467" t="s">
        <v>81</v>
      </c>
      <c r="AP142" s="467"/>
      <c r="AQ142" s="467">
        <v>1.218</v>
      </c>
      <c r="AR142" s="467" t="s">
        <v>126</v>
      </c>
      <c r="AS142" s="467" t="s">
        <v>81</v>
      </c>
      <c r="AT142" s="467" t="s">
        <v>81</v>
      </c>
      <c r="AU142" s="467">
        <v>1.2549999999999999</v>
      </c>
      <c r="AV142" s="467" t="s">
        <v>126</v>
      </c>
      <c r="AW142" s="467" t="s">
        <v>81</v>
      </c>
      <c r="AX142" s="467" t="s">
        <v>81</v>
      </c>
      <c r="AY142" s="467">
        <v>1.2929999999999999</v>
      </c>
      <c r="AZ142" s="467" t="s">
        <v>126</v>
      </c>
      <c r="BA142" s="467" t="s">
        <v>81</v>
      </c>
      <c r="BB142" s="467" t="s">
        <v>81</v>
      </c>
      <c r="BC142" s="467">
        <v>1.331</v>
      </c>
      <c r="BD142" s="467" t="s">
        <v>126</v>
      </c>
      <c r="BE142" s="467" t="s">
        <v>81</v>
      </c>
      <c r="BF142" s="467" t="s">
        <v>81</v>
      </c>
      <c r="BG142" s="467">
        <v>1.371</v>
      </c>
      <c r="BH142" s="467" t="s">
        <v>126</v>
      </c>
      <c r="BI142" s="467" t="s">
        <v>81</v>
      </c>
      <c r="BJ142" s="467" t="s">
        <v>81</v>
      </c>
      <c r="BK142" s="467">
        <v>1.4119999999999999</v>
      </c>
      <c r="BL142" s="467" t="s">
        <v>126</v>
      </c>
      <c r="BM142" s="467" t="s">
        <v>81</v>
      </c>
      <c r="BN142" s="467" t="s">
        <v>81</v>
      </c>
      <c r="BO142" s="467">
        <v>1.454</v>
      </c>
      <c r="BP142" s="467" t="s">
        <v>126</v>
      </c>
      <c r="BQ142" s="467" t="s">
        <v>81</v>
      </c>
      <c r="BR142" s="467" t="s">
        <v>81</v>
      </c>
      <c r="BS142" s="467">
        <v>1.498</v>
      </c>
      <c r="BT142" s="467" t="s">
        <v>126</v>
      </c>
      <c r="BU142" s="467" t="s">
        <v>81</v>
      </c>
      <c r="BV142" s="467" t="s">
        <v>81</v>
      </c>
      <c r="BW142" s="97">
        <f t="shared" si="90"/>
        <v>10.831999999999999</v>
      </c>
      <c r="BX142" s="450"/>
      <c r="BY142" s="313"/>
      <c r="BZ142" s="45"/>
      <c r="CA142" s="45"/>
      <c r="CB142" s="97"/>
      <c r="CC142" s="45"/>
      <c r="CD142" s="546"/>
      <c r="CE142" s="546"/>
      <c r="CF142" s="313"/>
      <c r="CG142" s="45"/>
      <c r="CH142" s="45"/>
      <c r="CI142" s="97"/>
      <c r="CJ142" s="45"/>
      <c r="CK142" s="546"/>
      <c r="CL142" s="546"/>
      <c r="CM142" s="313"/>
      <c r="CN142" s="45"/>
      <c r="CO142" s="45"/>
      <c r="CP142" s="97"/>
      <c r="CQ142" s="45"/>
      <c r="CR142" s="546"/>
      <c r="CS142" s="546"/>
      <c r="CT142" s="313"/>
      <c r="CU142" s="45"/>
      <c r="CV142" s="45"/>
      <c r="CW142" s="97"/>
      <c r="CX142" s="45"/>
      <c r="CY142" s="546"/>
      <c r="CZ142" s="546"/>
      <c r="DA142" s="313"/>
      <c r="DB142" s="45"/>
      <c r="DC142" s="45"/>
      <c r="DD142" s="97"/>
      <c r="DE142" s="45"/>
      <c r="DF142" s="546"/>
      <c r="DG142" s="546"/>
      <c r="DH142" s="313"/>
      <c r="DI142" s="45"/>
      <c r="DJ142" s="45"/>
      <c r="DK142" s="97"/>
      <c r="DL142" s="45"/>
      <c r="DM142" s="546"/>
      <c r="DN142" s="546"/>
    </row>
    <row r="143" spans="1:118" s="376" customFormat="1" ht="74.25" customHeight="1">
      <c r="B143" s="536"/>
      <c r="C143" s="539"/>
      <c r="D143" s="306" t="s">
        <v>1331</v>
      </c>
      <c r="E143" s="432">
        <v>5.7999999999999996E-3</v>
      </c>
      <c r="F143" s="438" t="s">
        <v>90</v>
      </c>
      <c r="G143" s="216" t="s">
        <v>1332</v>
      </c>
      <c r="H143" s="216" t="s">
        <v>1333</v>
      </c>
      <c r="I143" s="438" t="s">
        <v>1334</v>
      </c>
      <c r="J143" s="385" t="s">
        <v>1335</v>
      </c>
      <c r="K143" s="361">
        <v>44928</v>
      </c>
      <c r="L143" s="361">
        <v>46022</v>
      </c>
      <c r="M143" s="315" t="s">
        <v>97</v>
      </c>
      <c r="N143" s="316" t="s">
        <v>1062</v>
      </c>
      <c r="O143" s="316" t="s">
        <v>1063</v>
      </c>
      <c r="P143" s="371" t="s">
        <v>87</v>
      </c>
      <c r="Q143" s="367">
        <f>-S143</f>
        <v>0</v>
      </c>
      <c r="R143" s="206">
        <v>2022</v>
      </c>
      <c r="S143" s="203"/>
      <c r="T143" s="203">
        <v>0.2</v>
      </c>
      <c r="U143" s="367">
        <v>0.6</v>
      </c>
      <c r="V143" s="203">
        <v>1</v>
      </c>
      <c r="W143" s="203"/>
      <c r="X143" s="203"/>
      <c r="Y143" s="203"/>
      <c r="Z143" s="203"/>
      <c r="AA143" s="203"/>
      <c r="AB143" s="203">
        <v>1</v>
      </c>
      <c r="AC143" s="333"/>
      <c r="AD143" s="333"/>
      <c r="AE143" s="333"/>
      <c r="AF143" s="333"/>
      <c r="AG143" s="333"/>
      <c r="AH143" s="333"/>
      <c r="AI143" s="333"/>
      <c r="AJ143" s="333"/>
      <c r="AK143" s="333"/>
      <c r="AL143" s="387" t="str">
        <f t="shared" si="83"/>
        <v/>
      </c>
      <c r="AM143" s="400"/>
      <c r="AN143" s="373"/>
      <c r="AO143" s="400"/>
      <c r="AP143" s="400"/>
      <c r="AQ143" s="400"/>
      <c r="AR143" s="23" t="s">
        <v>88</v>
      </c>
      <c r="AS143" s="400"/>
      <c r="AT143" s="400"/>
      <c r="AU143" s="400"/>
      <c r="AV143" s="23" t="s">
        <v>88</v>
      </c>
      <c r="AW143" s="400"/>
      <c r="AX143" s="400"/>
      <c r="AY143" s="400"/>
      <c r="AZ143" s="23" t="s">
        <v>88</v>
      </c>
      <c r="BA143" s="400"/>
      <c r="BB143" s="400"/>
      <c r="BC143" s="400"/>
      <c r="BD143" s="373"/>
      <c r="BE143" s="400"/>
      <c r="BF143" s="400"/>
      <c r="BG143" s="400"/>
      <c r="BH143" s="373"/>
      <c r="BI143" s="400"/>
      <c r="BJ143" s="400"/>
      <c r="BK143" s="400"/>
      <c r="BL143" s="373"/>
      <c r="BM143" s="400"/>
      <c r="BN143" s="400"/>
      <c r="BO143" s="400"/>
      <c r="BP143" s="373"/>
      <c r="BQ143" s="400"/>
      <c r="BR143" s="400"/>
      <c r="BS143" s="400"/>
      <c r="BT143" s="373"/>
      <c r="BU143" s="400"/>
      <c r="BV143" s="400"/>
      <c r="BW143" s="97" t="str">
        <f t="shared" si="90"/>
        <v/>
      </c>
      <c r="BX143" s="384"/>
      <c r="BY143" s="439"/>
      <c r="BZ143" s="45"/>
      <c r="CA143" s="45"/>
      <c r="CB143" s="97"/>
      <c r="CC143" s="45"/>
      <c r="CD143" s="546"/>
      <c r="CE143" s="546"/>
      <c r="CF143" s="439"/>
      <c r="CG143" s="45"/>
      <c r="CH143" s="45"/>
      <c r="CI143" s="97"/>
      <c r="CJ143" s="45"/>
      <c r="CK143" s="546"/>
      <c r="CL143" s="546"/>
      <c r="CM143" s="439"/>
      <c r="CN143" s="45"/>
      <c r="CO143" s="45"/>
      <c r="CP143" s="97"/>
      <c r="CQ143" s="45"/>
      <c r="CR143" s="546"/>
      <c r="CS143" s="546"/>
      <c r="CT143" s="439"/>
      <c r="CU143" s="45"/>
      <c r="CV143" s="45"/>
      <c r="CW143" s="97"/>
      <c r="CX143" s="45"/>
      <c r="CY143" s="546"/>
      <c r="CZ143" s="546"/>
      <c r="DA143" s="439"/>
      <c r="DB143" s="45"/>
      <c r="DC143" s="45"/>
      <c r="DD143" s="97"/>
      <c r="DE143" s="45"/>
      <c r="DF143" s="546"/>
      <c r="DG143" s="546"/>
      <c r="DH143" s="439"/>
      <c r="DI143" s="45"/>
      <c r="DJ143" s="45"/>
      <c r="DK143" s="97"/>
      <c r="DL143" s="45"/>
      <c r="DM143" s="546"/>
      <c r="DN143" s="546"/>
    </row>
    <row r="144" spans="1:118" s="343" customFormat="1" ht="51">
      <c r="B144" s="536"/>
      <c r="C144" s="539"/>
      <c r="D144" s="416" t="s">
        <v>970</v>
      </c>
      <c r="E144" s="432">
        <v>5.7999999999999996E-3</v>
      </c>
      <c r="F144" s="438" t="s">
        <v>90</v>
      </c>
      <c r="G144" s="468" t="s">
        <v>1042</v>
      </c>
      <c r="H144" s="316" t="s">
        <v>1064</v>
      </c>
      <c r="I144" s="316" t="s">
        <v>1044</v>
      </c>
      <c r="J144" s="385" t="s">
        <v>538</v>
      </c>
      <c r="K144" s="362">
        <v>44743</v>
      </c>
      <c r="L144" s="362">
        <v>47848</v>
      </c>
      <c r="M144" s="315" t="s">
        <v>97</v>
      </c>
      <c r="N144" s="315" t="s">
        <v>1065</v>
      </c>
      <c r="O144" s="315" t="s">
        <v>1449</v>
      </c>
      <c r="P144" s="316" t="s">
        <v>87</v>
      </c>
      <c r="Q144" s="488">
        <v>42</v>
      </c>
      <c r="R144" s="316">
        <v>2021</v>
      </c>
      <c r="S144" s="316">
        <v>6</v>
      </c>
      <c r="T144" s="316">
        <v>20</v>
      </c>
      <c r="U144" s="316">
        <v>30</v>
      </c>
      <c r="V144" s="316">
        <v>45</v>
      </c>
      <c r="W144" s="316">
        <v>60</v>
      </c>
      <c r="X144" s="316">
        <v>75</v>
      </c>
      <c r="Y144" s="316">
        <v>80</v>
      </c>
      <c r="Z144" s="316">
        <v>90</v>
      </c>
      <c r="AA144" s="316">
        <v>100</v>
      </c>
      <c r="AB144" s="316">
        <v>100</v>
      </c>
      <c r="AC144" s="489">
        <v>180</v>
      </c>
      <c r="AD144" s="489">
        <v>180</v>
      </c>
      <c r="AE144" s="489">
        <v>180</v>
      </c>
      <c r="AF144" s="489">
        <v>450</v>
      </c>
      <c r="AG144" s="489">
        <v>450</v>
      </c>
      <c r="AH144" s="489">
        <v>450</v>
      </c>
      <c r="AI144" s="489">
        <v>150</v>
      </c>
      <c r="AJ144" s="489">
        <v>180</v>
      </c>
      <c r="AK144" s="489">
        <v>180</v>
      </c>
      <c r="AL144" s="467">
        <f t="shared" si="83"/>
        <v>2400</v>
      </c>
      <c r="AM144" s="489">
        <v>180</v>
      </c>
      <c r="AN144" s="190" t="s">
        <v>80</v>
      </c>
      <c r="AO144" s="190"/>
      <c r="AP144" s="194"/>
      <c r="AQ144" s="489">
        <v>180</v>
      </c>
      <c r="AR144" s="190" t="s">
        <v>80</v>
      </c>
      <c r="AS144" s="190"/>
      <c r="AT144" s="194"/>
      <c r="AU144" s="489">
        <v>180</v>
      </c>
      <c r="AV144" s="190" t="s">
        <v>80</v>
      </c>
      <c r="AW144" s="190"/>
      <c r="AX144" s="194"/>
      <c r="AY144" s="489">
        <v>450</v>
      </c>
      <c r="AZ144" s="190" t="s">
        <v>80</v>
      </c>
      <c r="BA144" s="190"/>
      <c r="BB144" s="194"/>
      <c r="BC144" s="489">
        <v>450</v>
      </c>
      <c r="BD144" s="190" t="s">
        <v>80</v>
      </c>
      <c r="BE144" s="190"/>
      <c r="BF144" s="194"/>
      <c r="BG144" s="489">
        <v>450</v>
      </c>
      <c r="BH144" s="190" t="s">
        <v>80</v>
      </c>
      <c r="BI144" s="190"/>
      <c r="BJ144" s="194"/>
      <c r="BK144" s="489">
        <v>150</v>
      </c>
      <c r="BL144" s="190" t="s">
        <v>80</v>
      </c>
      <c r="BM144" s="190"/>
      <c r="BN144" s="194"/>
      <c r="BO144" s="489">
        <v>180</v>
      </c>
      <c r="BP144" s="190" t="s">
        <v>80</v>
      </c>
      <c r="BQ144" s="190"/>
      <c r="BR144" s="194"/>
      <c r="BS144" s="489">
        <v>180</v>
      </c>
      <c r="BT144" s="190" t="s">
        <v>80</v>
      </c>
      <c r="BU144" s="190"/>
      <c r="BV144" s="194"/>
      <c r="BW144" s="97">
        <f t="shared" si="90"/>
        <v>2400</v>
      </c>
      <c r="BX144" s="450"/>
      <c r="BY144" s="439"/>
      <c r="BZ144" s="45"/>
      <c r="CA144" s="45"/>
      <c r="CB144" s="97"/>
      <c r="CC144" s="45"/>
      <c r="CD144" s="546"/>
      <c r="CE144" s="546"/>
      <c r="CF144" s="439"/>
      <c r="CG144" s="45"/>
      <c r="CH144" s="45"/>
      <c r="CI144" s="97"/>
      <c r="CJ144" s="45"/>
      <c r="CK144" s="546"/>
      <c r="CL144" s="546"/>
      <c r="CM144" s="439"/>
      <c r="CN144" s="45"/>
      <c r="CO144" s="45"/>
      <c r="CP144" s="97"/>
      <c r="CQ144" s="45"/>
      <c r="CR144" s="546"/>
      <c r="CS144" s="546"/>
      <c r="CT144" s="439"/>
      <c r="CU144" s="45"/>
      <c r="CV144" s="45"/>
      <c r="CW144" s="97"/>
      <c r="CX144" s="45"/>
      <c r="CY144" s="546"/>
      <c r="CZ144" s="546"/>
      <c r="DA144" s="439"/>
      <c r="DB144" s="45"/>
      <c r="DC144" s="45"/>
      <c r="DD144" s="97"/>
      <c r="DE144" s="45"/>
      <c r="DF144" s="546"/>
      <c r="DG144" s="546"/>
      <c r="DH144" s="439"/>
      <c r="DI144" s="45"/>
      <c r="DJ144" s="45"/>
      <c r="DK144" s="97"/>
      <c r="DL144" s="45"/>
      <c r="DM144" s="546"/>
      <c r="DN144" s="546"/>
    </row>
    <row r="145" spans="2:118" s="376" customFormat="1" ht="153">
      <c r="B145" s="536"/>
      <c r="C145" s="539"/>
      <c r="D145" s="233" t="s">
        <v>971</v>
      </c>
      <c r="E145" s="432">
        <v>5.1999999999999998E-3</v>
      </c>
      <c r="F145" s="438" t="s">
        <v>90</v>
      </c>
      <c r="G145" s="438" t="s">
        <v>549</v>
      </c>
      <c r="H145" s="438" t="s">
        <v>550</v>
      </c>
      <c r="I145" s="438" t="s">
        <v>551</v>
      </c>
      <c r="J145" s="385" t="s">
        <v>552</v>
      </c>
      <c r="K145" s="361">
        <v>44713</v>
      </c>
      <c r="L145" s="156">
        <v>47848</v>
      </c>
      <c r="M145" s="315" t="s">
        <v>97</v>
      </c>
      <c r="N145" s="371" t="s">
        <v>1066</v>
      </c>
      <c r="O145" s="316" t="s">
        <v>1067</v>
      </c>
      <c r="P145" s="315" t="s">
        <v>87</v>
      </c>
      <c r="Q145" s="359">
        <v>0</v>
      </c>
      <c r="R145" s="197">
        <v>2022</v>
      </c>
      <c r="S145" s="410">
        <v>0.157</v>
      </c>
      <c r="T145" s="410">
        <v>0.51200000000000001</v>
      </c>
      <c r="U145" s="410">
        <v>0.66700000000000004</v>
      </c>
      <c r="V145" s="410">
        <v>0.72250000000000003</v>
      </c>
      <c r="W145" s="410">
        <v>0.77800000000000002</v>
      </c>
      <c r="X145" s="410">
        <v>0.83350000000000002</v>
      </c>
      <c r="Y145" s="410">
        <v>0.88900000000000001</v>
      </c>
      <c r="Z145" s="410">
        <v>0.94450000000000001</v>
      </c>
      <c r="AA145" s="410">
        <v>1</v>
      </c>
      <c r="AB145" s="410">
        <v>1</v>
      </c>
      <c r="AC145" s="328"/>
      <c r="AD145" s="328">
        <v>241.5</v>
      </c>
      <c r="AE145" s="328">
        <v>260</v>
      </c>
      <c r="AF145" s="328">
        <v>275</v>
      </c>
      <c r="AG145" s="328">
        <v>290</v>
      </c>
      <c r="AH145" s="328">
        <v>305</v>
      </c>
      <c r="AI145" s="328">
        <v>321</v>
      </c>
      <c r="AJ145" s="328">
        <v>337</v>
      </c>
      <c r="AK145" s="328">
        <v>354</v>
      </c>
      <c r="AL145" s="387">
        <f t="shared" si="83"/>
        <v>2383.5</v>
      </c>
      <c r="AM145" s="190"/>
      <c r="AN145" s="234"/>
      <c r="AO145" s="190"/>
      <c r="AP145" s="194"/>
      <c r="AQ145" s="440">
        <f>+AD145</f>
        <v>241.5</v>
      </c>
      <c r="AR145" s="234" t="s">
        <v>126</v>
      </c>
      <c r="AS145" s="190"/>
      <c r="AT145" s="194"/>
      <c r="AU145" s="440">
        <f>+AE145</f>
        <v>260</v>
      </c>
      <c r="AV145" s="234" t="s">
        <v>126</v>
      </c>
      <c r="AW145" s="190"/>
      <c r="AX145" s="194"/>
      <c r="AY145" s="440">
        <f>+AF145</f>
        <v>275</v>
      </c>
      <c r="AZ145" s="234" t="s">
        <v>126</v>
      </c>
      <c r="BA145" s="190"/>
      <c r="BB145" s="194"/>
      <c r="BC145" s="440">
        <f>+AG145</f>
        <v>290</v>
      </c>
      <c r="BD145" s="234" t="s">
        <v>126</v>
      </c>
      <c r="BE145" s="190"/>
      <c r="BF145" s="194"/>
      <c r="BG145" s="440">
        <f>+AH145</f>
        <v>305</v>
      </c>
      <c r="BH145" s="234" t="s">
        <v>126</v>
      </c>
      <c r="BI145" s="190"/>
      <c r="BJ145" s="194"/>
      <c r="BK145" s="440">
        <f>+AI145</f>
        <v>321</v>
      </c>
      <c r="BL145" s="234" t="s">
        <v>126</v>
      </c>
      <c r="BM145" s="190"/>
      <c r="BN145" s="194"/>
      <c r="BO145" s="440">
        <f>+AJ145</f>
        <v>337</v>
      </c>
      <c r="BP145" s="234" t="s">
        <v>126</v>
      </c>
      <c r="BQ145" s="190"/>
      <c r="BR145" s="194"/>
      <c r="BS145" s="440">
        <f>+AK145</f>
        <v>354</v>
      </c>
      <c r="BT145" s="234" t="s">
        <v>126</v>
      </c>
      <c r="BU145" s="190"/>
      <c r="BV145" s="194"/>
      <c r="BW145" s="97">
        <f t="shared" si="90"/>
        <v>2383.5</v>
      </c>
      <c r="BX145" s="384"/>
      <c r="BY145" s="313"/>
      <c r="BZ145" s="45"/>
      <c r="CA145" s="45"/>
      <c r="CB145" s="97"/>
      <c r="CC145" s="45"/>
      <c r="CD145" s="546"/>
      <c r="CE145" s="546"/>
      <c r="CF145" s="313"/>
      <c r="CG145" s="45"/>
      <c r="CH145" s="45"/>
      <c r="CI145" s="97"/>
      <c r="CJ145" s="45"/>
      <c r="CK145" s="546"/>
      <c r="CL145" s="546"/>
      <c r="CM145" s="313"/>
      <c r="CN145" s="45"/>
      <c r="CO145" s="45"/>
      <c r="CP145" s="97"/>
      <c r="CQ145" s="45"/>
      <c r="CR145" s="546"/>
      <c r="CS145" s="546"/>
      <c r="CT145" s="313"/>
      <c r="CU145" s="45"/>
      <c r="CV145" s="45"/>
      <c r="CW145" s="97"/>
      <c r="CX145" s="45"/>
      <c r="CY145" s="546"/>
      <c r="CZ145" s="546"/>
      <c r="DA145" s="313"/>
      <c r="DB145" s="45"/>
      <c r="DC145" s="45"/>
      <c r="DD145" s="97"/>
      <c r="DE145" s="45"/>
      <c r="DF145" s="546"/>
      <c r="DG145" s="546"/>
      <c r="DH145" s="313"/>
      <c r="DI145" s="45"/>
      <c r="DJ145" s="45"/>
      <c r="DK145" s="97"/>
      <c r="DL145" s="45"/>
      <c r="DM145" s="546"/>
      <c r="DN145" s="546"/>
    </row>
    <row r="146" spans="2:118" s="376" customFormat="1" ht="76.5">
      <c r="B146" s="536"/>
      <c r="C146" s="539"/>
      <c r="D146" s="490" t="s">
        <v>1314</v>
      </c>
      <c r="E146" s="432">
        <v>5.7999999999999996E-3</v>
      </c>
      <c r="F146" s="438" t="s">
        <v>90</v>
      </c>
      <c r="G146" s="244" t="s">
        <v>1086</v>
      </c>
      <c r="H146" s="438" t="s">
        <v>1087</v>
      </c>
      <c r="I146" s="438" t="s">
        <v>1088</v>
      </c>
      <c r="J146" s="385" t="s">
        <v>568</v>
      </c>
      <c r="K146" s="361">
        <v>44927</v>
      </c>
      <c r="L146" s="362">
        <v>47848</v>
      </c>
      <c r="M146" s="244" t="s">
        <v>97</v>
      </c>
      <c r="N146" s="315" t="s">
        <v>1089</v>
      </c>
      <c r="O146" s="315" t="s">
        <v>1090</v>
      </c>
      <c r="P146" s="315" t="s">
        <v>87</v>
      </c>
      <c r="Q146" s="491">
        <v>0</v>
      </c>
      <c r="R146" s="245">
        <v>2022</v>
      </c>
      <c r="S146" s="45"/>
      <c r="T146" s="415">
        <v>1</v>
      </c>
      <c r="U146" s="415">
        <v>2</v>
      </c>
      <c r="V146" s="415">
        <v>3</v>
      </c>
      <c r="W146" s="415">
        <v>4</v>
      </c>
      <c r="X146" s="415">
        <v>5</v>
      </c>
      <c r="Y146" s="415">
        <v>6</v>
      </c>
      <c r="Z146" s="415">
        <v>7</v>
      </c>
      <c r="AA146" s="415">
        <v>8</v>
      </c>
      <c r="AB146" s="415">
        <v>8</v>
      </c>
      <c r="AC146" s="328"/>
      <c r="AD146" s="328"/>
      <c r="AE146" s="328"/>
      <c r="AF146" s="328"/>
      <c r="AG146" s="328"/>
      <c r="AH146" s="328"/>
      <c r="AI146" s="328"/>
      <c r="AJ146" s="328"/>
      <c r="AK146" s="328"/>
      <c r="AL146" s="387" t="str">
        <f t="shared" ref="AL146" si="91">IF(SUM(AC146:AK146)=0,"",SUM(AC146:AK146))</f>
        <v/>
      </c>
      <c r="AM146" s="45"/>
      <c r="AN146" s="194"/>
      <c r="AO146" s="45"/>
      <c r="AP146" s="194"/>
      <c r="AQ146" s="45"/>
      <c r="AR146" s="194" t="s">
        <v>126</v>
      </c>
      <c r="AS146" s="45"/>
      <c r="AT146" s="45"/>
      <c r="AU146" s="45"/>
      <c r="AV146" s="194" t="s">
        <v>126</v>
      </c>
      <c r="AW146" s="194"/>
      <c r="AX146" s="194"/>
      <c r="AY146" s="194"/>
      <c r="AZ146" s="194" t="s">
        <v>126</v>
      </c>
      <c r="BA146" s="194"/>
      <c r="BB146" s="194"/>
      <c r="BC146" s="194"/>
      <c r="BD146" s="194" t="s">
        <v>126</v>
      </c>
      <c r="BE146" s="194"/>
      <c r="BF146" s="194"/>
      <c r="BG146" s="194"/>
      <c r="BH146" s="194" t="s">
        <v>126</v>
      </c>
      <c r="BI146" s="194"/>
      <c r="BJ146" s="194"/>
      <c r="BK146" s="194"/>
      <c r="BL146" s="194" t="s">
        <v>126</v>
      </c>
      <c r="BM146" s="194"/>
      <c r="BN146" s="194"/>
      <c r="BO146" s="214"/>
      <c r="BP146" s="194" t="s">
        <v>126</v>
      </c>
      <c r="BQ146" s="214"/>
      <c r="BR146" s="194"/>
      <c r="BS146" s="214"/>
      <c r="BT146" s="194" t="s">
        <v>126</v>
      </c>
      <c r="BU146" s="214"/>
      <c r="BV146" s="194"/>
      <c r="BW146" s="97" t="str">
        <f t="shared" si="90"/>
        <v/>
      </c>
      <c r="BX146" s="384"/>
      <c r="BY146" s="439"/>
      <c r="BZ146" s="45"/>
      <c r="CA146" s="45"/>
      <c r="CB146" s="97"/>
      <c r="CC146" s="45"/>
      <c r="CD146" s="546"/>
      <c r="CE146" s="546"/>
      <c r="CF146" s="439"/>
      <c r="CG146" s="45"/>
      <c r="CH146" s="45"/>
      <c r="CI146" s="97"/>
      <c r="CJ146" s="45"/>
      <c r="CK146" s="546"/>
      <c r="CL146" s="546"/>
      <c r="CM146" s="439"/>
      <c r="CN146" s="45"/>
      <c r="CO146" s="45"/>
      <c r="CP146" s="97"/>
      <c r="CQ146" s="45"/>
      <c r="CR146" s="546"/>
      <c r="CS146" s="546"/>
      <c r="CT146" s="439"/>
      <c r="CU146" s="45"/>
      <c r="CV146" s="45"/>
      <c r="CW146" s="97"/>
      <c r="CX146" s="45"/>
      <c r="CY146" s="546"/>
      <c r="CZ146" s="546"/>
      <c r="DA146" s="439"/>
      <c r="DB146" s="45"/>
      <c r="DC146" s="45"/>
      <c r="DD146" s="97"/>
      <c r="DE146" s="45"/>
      <c r="DF146" s="546"/>
      <c r="DG146" s="546"/>
      <c r="DH146" s="439"/>
      <c r="DI146" s="45"/>
      <c r="DJ146" s="45"/>
      <c r="DK146" s="97"/>
      <c r="DL146" s="45"/>
      <c r="DM146" s="546"/>
      <c r="DN146" s="546"/>
    </row>
    <row r="147" spans="2:118" s="343" customFormat="1" ht="89.25">
      <c r="B147" s="536"/>
      <c r="C147" s="539"/>
      <c r="D147" s="377" t="s">
        <v>1315</v>
      </c>
      <c r="E147" s="432">
        <v>5.5999999999999999E-3</v>
      </c>
      <c r="F147" s="316" t="s">
        <v>90</v>
      </c>
      <c r="G147" s="316" t="s">
        <v>543</v>
      </c>
      <c r="H147" s="316" t="s">
        <v>544</v>
      </c>
      <c r="I147" s="316" t="s">
        <v>545</v>
      </c>
      <c r="J147" s="385" t="s">
        <v>546</v>
      </c>
      <c r="K147" s="362">
        <v>44743</v>
      </c>
      <c r="L147" s="362">
        <v>45290</v>
      </c>
      <c r="M147" s="316" t="s">
        <v>97</v>
      </c>
      <c r="N147" s="316" t="s">
        <v>547</v>
      </c>
      <c r="O147" s="316" t="s">
        <v>548</v>
      </c>
      <c r="P147" s="316" t="s">
        <v>87</v>
      </c>
      <c r="Q147" s="367">
        <v>0</v>
      </c>
      <c r="R147" s="316">
        <v>2021</v>
      </c>
      <c r="S147" s="367">
        <v>0.5</v>
      </c>
      <c r="T147" s="367">
        <v>1</v>
      </c>
      <c r="U147" s="316" t="s">
        <v>81</v>
      </c>
      <c r="V147" s="316" t="s">
        <v>81</v>
      </c>
      <c r="W147" s="316" t="s">
        <v>81</v>
      </c>
      <c r="X147" s="316" t="s">
        <v>81</v>
      </c>
      <c r="Y147" s="316" t="s">
        <v>81</v>
      </c>
      <c r="Z147" s="316" t="s">
        <v>81</v>
      </c>
      <c r="AA147" s="316" t="s">
        <v>81</v>
      </c>
      <c r="AB147" s="367">
        <v>1</v>
      </c>
      <c r="AC147" s="333"/>
      <c r="AD147" s="333"/>
      <c r="AE147" s="333"/>
      <c r="AF147" s="333"/>
      <c r="AG147" s="333"/>
      <c r="AH147" s="333"/>
      <c r="AI147" s="333"/>
      <c r="AJ147" s="333"/>
      <c r="AK147" s="333"/>
      <c r="AL147" s="467" t="str">
        <f t="shared" si="83"/>
        <v/>
      </c>
      <c r="AM147" s="400"/>
      <c r="AN147" s="373" t="s">
        <v>126</v>
      </c>
      <c r="AO147" s="400"/>
      <c r="AP147" s="400"/>
      <c r="AQ147" s="400"/>
      <c r="AR147" s="373" t="s">
        <v>126</v>
      </c>
      <c r="AS147" s="400"/>
      <c r="AT147" s="400"/>
      <c r="AU147" s="400"/>
      <c r="AV147" s="373"/>
      <c r="AW147" s="400"/>
      <c r="AX147" s="400"/>
      <c r="AY147" s="400"/>
      <c r="AZ147" s="373"/>
      <c r="BA147" s="400"/>
      <c r="BB147" s="400"/>
      <c r="BC147" s="400"/>
      <c r="BD147" s="373"/>
      <c r="BE147" s="400"/>
      <c r="BF147" s="400"/>
      <c r="BG147" s="400"/>
      <c r="BH147" s="373"/>
      <c r="BI147" s="400"/>
      <c r="BJ147" s="400"/>
      <c r="BK147" s="400"/>
      <c r="BL147" s="373"/>
      <c r="BM147" s="400"/>
      <c r="BN147" s="400"/>
      <c r="BO147" s="400"/>
      <c r="BP147" s="373"/>
      <c r="BQ147" s="400"/>
      <c r="BR147" s="400"/>
      <c r="BS147" s="400"/>
      <c r="BT147" s="373"/>
      <c r="BU147" s="400"/>
      <c r="BV147" s="400"/>
      <c r="BW147" s="97" t="str">
        <f t="shared" si="90"/>
        <v/>
      </c>
      <c r="BX147" s="450"/>
      <c r="BY147" s="313"/>
      <c r="BZ147" s="45"/>
      <c r="CA147" s="45"/>
      <c r="CB147" s="97"/>
      <c r="CC147" s="45"/>
      <c r="CD147" s="546"/>
      <c r="CE147" s="546"/>
      <c r="CF147" s="313"/>
      <c r="CG147" s="45"/>
      <c r="CH147" s="45"/>
      <c r="CI147" s="97"/>
      <c r="CJ147" s="45"/>
      <c r="CK147" s="546"/>
      <c r="CL147" s="546"/>
      <c r="CM147" s="313"/>
      <c r="CN147" s="45"/>
      <c r="CO147" s="45"/>
      <c r="CP147" s="97"/>
      <c r="CQ147" s="45"/>
      <c r="CR147" s="546"/>
      <c r="CS147" s="546"/>
      <c r="CT147" s="313"/>
      <c r="CU147" s="45"/>
      <c r="CV147" s="45"/>
      <c r="CW147" s="97"/>
      <c r="CX147" s="45"/>
      <c r="CY147" s="546"/>
      <c r="CZ147" s="546"/>
      <c r="DA147" s="313"/>
      <c r="DB147" s="45"/>
      <c r="DC147" s="45"/>
      <c r="DD147" s="97"/>
      <c r="DE147" s="45"/>
      <c r="DF147" s="546"/>
      <c r="DG147" s="546"/>
      <c r="DH147" s="313"/>
      <c r="DI147" s="45"/>
      <c r="DJ147" s="45"/>
      <c r="DK147" s="97"/>
      <c r="DL147" s="45"/>
      <c r="DM147" s="546"/>
      <c r="DN147" s="546"/>
    </row>
    <row r="148" spans="2:118" s="343" customFormat="1" ht="51">
      <c r="B148" s="536"/>
      <c r="C148" s="539"/>
      <c r="D148" s="377" t="s">
        <v>1316</v>
      </c>
      <c r="E148" s="432">
        <v>5.5999999999999999E-3</v>
      </c>
      <c r="F148" s="316" t="s">
        <v>90</v>
      </c>
      <c r="G148" s="316" t="s">
        <v>543</v>
      </c>
      <c r="H148" s="316" t="s">
        <v>544</v>
      </c>
      <c r="I148" s="316" t="s">
        <v>545</v>
      </c>
      <c r="J148" s="385" t="s">
        <v>546</v>
      </c>
      <c r="K148" s="362">
        <v>44713</v>
      </c>
      <c r="L148" s="362">
        <v>45656</v>
      </c>
      <c r="M148" s="316" t="s">
        <v>97</v>
      </c>
      <c r="N148" s="316" t="s">
        <v>1068</v>
      </c>
      <c r="O148" s="316" t="s">
        <v>1069</v>
      </c>
      <c r="P148" s="316" t="s">
        <v>87</v>
      </c>
      <c r="Q148" s="316">
        <v>22</v>
      </c>
      <c r="R148" s="316">
        <v>2021</v>
      </c>
      <c r="S148" s="316">
        <v>10</v>
      </c>
      <c r="T148" s="316">
        <v>20</v>
      </c>
      <c r="U148" s="316">
        <v>32</v>
      </c>
      <c r="V148" s="316" t="s">
        <v>81</v>
      </c>
      <c r="W148" s="316" t="s">
        <v>81</v>
      </c>
      <c r="X148" s="316" t="s">
        <v>81</v>
      </c>
      <c r="Y148" s="316" t="s">
        <v>81</v>
      </c>
      <c r="Z148" s="316" t="s">
        <v>81</v>
      </c>
      <c r="AA148" s="316" t="s">
        <v>81</v>
      </c>
      <c r="AB148" s="194">
        <v>32</v>
      </c>
      <c r="AC148" s="492">
        <v>142.76528099999999</v>
      </c>
      <c r="AD148" s="492">
        <v>154.18650348</v>
      </c>
      <c r="AE148" s="492">
        <v>166.5214237584</v>
      </c>
      <c r="AF148" s="328"/>
      <c r="AG148" s="328"/>
      <c r="AH148" s="328"/>
      <c r="AI148" s="328"/>
      <c r="AJ148" s="328"/>
      <c r="AK148" s="328"/>
      <c r="AL148" s="467">
        <f t="shared" si="83"/>
        <v>463.47320823840005</v>
      </c>
      <c r="AM148" s="492">
        <v>142.76528099999999</v>
      </c>
      <c r="AN148" s="190" t="s">
        <v>80</v>
      </c>
      <c r="AO148" s="190"/>
      <c r="AP148" s="194"/>
      <c r="AQ148" s="492">
        <v>154.18650348</v>
      </c>
      <c r="AR148" s="190" t="s">
        <v>80</v>
      </c>
      <c r="AS148" s="190"/>
      <c r="AT148" s="194"/>
      <c r="AU148" s="492">
        <v>166.5214237584</v>
      </c>
      <c r="AV148" s="190" t="s">
        <v>80</v>
      </c>
      <c r="AW148" s="190"/>
      <c r="AX148" s="194"/>
      <c r="AY148" s="321"/>
      <c r="AZ148" s="194"/>
      <c r="BA148" s="321"/>
      <c r="BB148" s="194"/>
      <c r="BC148" s="321"/>
      <c r="BD148" s="194"/>
      <c r="BE148" s="321"/>
      <c r="BF148" s="194"/>
      <c r="BG148" s="321"/>
      <c r="BH148" s="194"/>
      <c r="BI148" s="321"/>
      <c r="BJ148" s="194"/>
      <c r="BK148" s="321"/>
      <c r="BL148" s="194"/>
      <c r="BM148" s="321"/>
      <c r="BN148" s="194"/>
      <c r="BO148" s="321"/>
      <c r="BP148" s="194"/>
      <c r="BQ148" s="321"/>
      <c r="BR148" s="194"/>
      <c r="BS148" s="190"/>
      <c r="BT148" s="194"/>
      <c r="BU148" s="190"/>
      <c r="BV148" s="194"/>
      <c r="BW148" s="97">
        <f t="shared" si="90"/>
        <v>463.47320823840005</v>
      </c>
      <c r="BX148" s="450"/>
      <c r="BY148" s="439"/>
      <c r="BZ148" s="45"/>
      <c r="CA148" s="45"/>
      <c r="CB148" s="97"/>
      <c r="CC148" s="45"/>
      <c r="CD148" s="546"/>
      <c r="CE148" s="546"/>
      <c r="CF148" s="439"/>
      <c r="CG148" s="45"/>
      <c r="CH148" s="45"/>
      <c r="CI148" s="97"/>
      <c r="CJ148" s="45"/>
      <c r="CK148" s="546"/>
      <c r="CL148" s="546"/>
      <c r="CM148" s="439"/>
      <c r="CN148" s="45"/>
      <c r="CO148" s="45"/>
      <c r="CP148" s="97"/>
      <c r="CQ148" s="45"/>
      <c r="CR148" s="546"/>
      <c r="CS148" s="546"/>
      <c r="CT148" s="439"/>
      <c r="CU148" s="45"/>
      <c r="CV148" s="45"/>
      <c r="CW148" s="97"/>
      <c r="CX148" s="45"/>
      <c r="CY148" s="546"/>
      <c r="CZ148" s="546"/>
      <c r="DA148" s="439"/>
      <c r="DB148" s="45"/>
      <c r="DC148" s="45"/>
      <c r="DD148" s="97"/>
      <c r="DE148" s="45"/>
      <c r="DF148" s="546"/>
      <c r="DG148" s="546"/>
      <c r="DH148" s="439"/>
      <c r="DI148" s="45"/>
      <c r="DJ148" s="45"/>
      <c r="DK148" s="97"/>
      <c r="DL148" s="45"/>
      <c r="DM148" s="546"/>
      <c r="DN148" s="546"/>
    </row>
    <row r="149" spans="2:118" ht="38.25">
      <c r="B149" s="536"/>
      <c r="C149" s="539"/>
      <c r="D149" s="417" t="s">
        <v>1317</v>
      </c>
      <c r="E149" s="432">
        <v>5.3E-3</v>
      </c>
      <c r="F149" s="437" t="s">
        <v>90</v>
      </c>
      <c r="G149" s="136" t="s">
        <v>276</v>
      </c>
      <c r="H149" s="136" t="s">
        <v>277</v>
      </c>
      <c r="I149" s="136" t="s">
        <v>459</v>
      </c>
      <c r="J149" s="385" t="s">
        <v>460</v>
      </c>
      <c r="K149" s="156">
        <v>44682</v>
      </c>
      <c r="L149" s="156">
        <v>47848</v>
      </c>
      <c r="M149" s="193" t="s">
        <v>553</v>
      </c>
      <c r="N149" s="136" t="s">
        <v>1271</v>
      </c>
      <c r="O149" s="136" t="s">
        <v>1272</v>
      </c>
      <c r="P149" s="136" t="s">
        <v>79</v>
      </c>
      <c r="Q149" s="136">
        <v>190</v>
      </c>
      <c r="R149" s="205">
        <v>2021</v>
      </c>
      <c r="S149" s="224">
        <v>190</v>
      </c>
      <c r="T149" s="224">
        <v>380</v>
      </c>
      <c r="U149" s="224">
        <v>570</v>
      </c>
      <c r="V149" s="224">
        <v>760</v>
      </c>
      <c r="W149" s="224">
        <v>950</v>
      </c>
      <c r="X149" s="224">
        <v>1140</v>
      </c>
      <c r="Y149" s="224">
        <v>1330</v>
      </c>
      <c r="Z149" s="224">
        <v>1520</v>
      </c>
      <c r="AA149" s="224">
        <v>1710</v>
      </c>
      <c r="AB149" s="283">
        <v>1710</v>
      </c>
      <c r="AC149" s="331">
        <v>43</v>
      </c>
      <c r="AD149" s="331">
        <v>45</v>
      </c>
      <c r="AE149" s="331">
        <v>46</v>
      </c>
      <c r="AF149" s="331">
        <v>47.38</v>
      </c>
      <c r="AG149" s="331">
        <v>48.801400000000001</v>
      </c>
      <c r="AH149" s="331">
        <v>50.265442</v>
      </c>
      <c r="AI149" s="331">
        <v>51.773405260000004</v>
      </c>
      <c r="AJ149" s="331">
        <v>53.326607417800005</v>
      </c>
      <c r="AK149" s="331">
        <v>54.926405640334004</v>
      </c>
      <c r="AL149" s="454">
        <f t="shared" si="83"/>
        <v>440.47326031813401</v>
      </c>
      <c r="AM149" s="254">
        <f>AC149</f>
        <v>43</v>
      </c>
      <c r="AN149" s="234" t="s">
        <v>126</v>
      </c>
      <c r="AO149" s="254"/>
      <c r="AP149" s="254"/>
      <c r="AQ149" s="254">
        <v>45</v>
      </c>
      <c r="AR149" s="234" t="s">
        <v>126</v>
      </c>
      <c r="AS149" s="254"/>
      <c r="AT149" s="254"/>
      <c r="AU149" s="254">
        <v>46</v>
      </c>
      <c r="AV149" s="234" t="s">
        <v>126</v>
      </c>
      <c r="AW149" s="254"/>
      <c r="AX149" s="254"/>
      <c r="AY149" s="254">
        <f>AF149</f>
        <v>47.38</v>
      </c>
      <c r="AZ149" s="234" t="s">
        <v>126</v>
      </c>
      <c r="BA149" s="254"/>
      <c r="BB149" s="254"/>
      <c r="BC149" s="254">
        <f>AG149</f>
        <v>48.801400000000001</v>
      </c>
      <c r="BD149" s="234" t="s">
        <v>126</v>
      </c>
      <c r="BE149" s="254"/>
      <c r="BF149" s="254"/>
      <c r="BG149" s="254">
        <f>AH149</f>
        <v>50.265442</v>
      </c>
      <c r="BH149" s="234" t="s">
        <v>126</v>
      </c>
      <c r="BI149" s="254"/>
      <c r="BJ149" s="254"/>
      <c r="BK149" s="254">
        <f>AI149</f>
        <v>51.773405260000004</v>
      </c>
      <c r="BL149" s="234" t="s">
        <v>126</v>
      </c>
      <c r="BM149" s="254"/>
      <c r="BN149" s="254"/>
      <c r="BO149" s="254">
        <f>AJ149</f>
        <v>53.326607417800005</v>
      </c>
      <c r="BP149" s="234" t="s">
        <v>126</v>
      </c>
      <c r="BQ149" s="254"/>
      <c r="BR149" s="254"/>
      <c r="BS149" s="254">
        <f>AK149</f>
        <v>54.926405640334004</v>
      </c>
      <c r="BT149" s="234" t="s">
        <v>126</v>
      </c>
      <c r="BU149" s="254"/>
      <c r="BV149" s="254"/>
      <c r="BW149" s="97">
        <f t="shared" si="90"/>
        <v>440.47326031813401</v>
      </c>
      <c r="BX149" s="384"/>
      <c r="BY149" s="110"/>
      <c r="BZ149" s="45"/>
      <c r="CA149" s="45"/>
      <c r="CB149" s="97"/>
      <c r="CC149" s="45"/>
      <c r="CD149" s="546"/>
      <c r="CE149" s="546"/>
      <c r="CF149" s="110"/>
      <c r="CG149" s="45"/>
      <c r="CH149" s="45"/>
      <c r="CI149" s="97"/>
      <c r="CJ149" s="198"/>
      <c r="CK149" s="546"/>
      <c r="CL149" s="546"/>
      <c r="CM149" s="292"/>
      <c r="CN149" s="198"/>
      <c r="CO149" s="198"/>
      <c r="CP149" s="199"/>
      <c r="CQ149" s="198"/>
      <c r="CR149" s="546"/>
      <c r="CS149" s="546"/>
      <c r="CT149" s="292"/>
      <c r="CU149" s="198"/>
      <c r="CV149" s="198"/>
      <c r="CW149" s="199"/>
      <c r="CX149" s="198"/>
      <c r="CY149" s="546"/>
      <c r="CZ149" s="546"/>
      <c r="DA149" s="292"/>
      <c r="DB149" s="198"/>
      <c r="DC149" s="198"/>
      <c r="DD149" s="199"/>
      <c r="DE149" s="198"/>
      <c r="DF149" s="546"/>
      <c r="DG149" s="546"/>
      <c r="DH149" s="292"/>
      <c r="DI149" s="198"/>
      <c r="DJ149" s="198"/>
      <c r="DK149" s="199"/>
      <c r="DL149" s="198"/>
      <c r="DM149" s="546"/>
      <c r="DN149" s="546"/>
    </row>
    <row r="150" spans="2:118" s="376" customFormat="1" ht="51">
      <c r="B150" s="536"/>
      <c r="C150" s="539"/>
      <c r="D150" s="306" t="s">
        <v>1318</v>
      </c>
      <c r="E150" s="432">
        <v>5.7000000000000002E-3</v>
      </c>
      <c r="F150" s="438" t="s">
        <v>90</v>
      </c>
      <c r="G150" s="216" t="s">
        <v>467</v>
      </c>
      <c r="H150" s="438" t="s">
        <v>1070</v>
      </c>
      <c r="I150" s="438" t="s">
        <v>1071</v>
      </c>
      <c r="J150" s="385" t="s">
        <v>1072</v>
      </c>
      <c r="K150" s="361">
        <v>44958</v>
      </c>
      <c r="L150" s="156">
        <v>47848</v>
      </c>
      <c r="M150" s="315" t="s">
        <v>553</v>
      </c>
      <c r="N150" s="315" t="s">
        <v>1073</v>
      </c>
      <c r="O150" s="315" t="s">
        <v>1074</v>
      </c>
      <c r="P150" s="315" t="s">
        <v>79</v>
      </c>
      <c r="Q150" s="194">
        <v>0</v>
      </c>
      <c r="R150" s="216">
        <v>2021</v>
      </c>
      <c r="S150" s="194"/>
      <c r="T150" s="194">
        <v>8</v>
      </c>
      <c r="U150" s="194">
        <v>12</v>
      </c>
      <c r="V150" s="194">
        <v>16</v>
      </c>
      <c r="W150" s="194">
        <v>20</v>
      </c>
      <c r="X150" s="194">
        <v>24</v>
      </c>
      <c r="Y150" s="194">
        <v>27</v>
      </c>
      <c r="Z150" s="194">
        <v>30</v>
      </c>
      <c r="AA150" s="194">
        <v>33</v>
      </c>
      <c r="AB150" s="194">
        <v>33</v>
      </c>
      <c r="AC150" s="328"/>
      <c r="AD150" s="328">
        <v>50000</v>
      </c>
      <c r="AE150" s="328">
        <v>8000</v>
      </c>
      <c r="AF150" s="328">
        <v>8000</v>
      </c>
      <c r="AG150" s="328">
        <v>8000</v>
      </c>
      <c r="AH150" s="328">
        <v>8000</v>
      </c>
      <c r="AI150" s="328">
        <v>8000</v>
      </c>
      <c r="AJ150" s="328">
        <v>8000</v>
      </c>
      <c r="AK150" s="328">
        <v>8000</v>
      </c>
      <c r="AL150" s="387">
        <f t="shared" si="83"/>
        <v>106000</v>
      </c>
      <c r="AM150" s="190"/>
      <c r="AN150" s="194"/>
      <c r="AO150" s="190"/>
      <c r="AP150" s="194"/>
      <c r="AQ150" s="328">
        <v>50000</v>
      </c>
      <c r="AR150" s="194" t="s">
        <v>80</v>
      </c>
      <c r="AS150" s="190"/>
      <c r="AT150" s="194"/>
      <c r="AU150" s="328">
        <v>8000</v>
      </c>
      <c r="AV150" s="194" t="s">
        <v>80</v>
      </c>
      <c r="AW150" s="321"/>
      <c r="AX150" s="194"/>
      <c r="AY150" s="328">
        <v>8000</v>
      </c>
      <c r="AZ150" s="194" t="s">
        <v>80</v>
      </c>
      <c r="BA150" s="321"/>
      <c r="BB150" s="194"/>
      <c r="BC150" s="328">
        <v>8000</v>
      </c>
      <c r="BD150" s="194" t="s">
        <v>80</v>
      </c>
      <c r="BE150" s="321"/>
      <c r="BF150" s="194"/>
      <c r="BG150" s="328">
        <v>8000</v>
      </c>
      <c r="BH150" s="194" t="s">
        <v>80</v>
      </c>
      <c r="BI150" s="321"/>
      <c r="BJ150" s="194"/>
      <c r="BK150" s="328">
        <v>8000</v>
      </c>
      <c r="BL150" s="194" t="s">
        <v>80</v>
      </c>
      <c r="BM150" s="321"/>
      <c r="BN150" s="194"/>
      <c r="BO150" s="328">
        <v>8000</v>
      </c>
      <c r="BP150" s="194" t="s">
        <v>80</v>
      </c>
      <c r="BQ150" s="321"/>
      <c r="BR150" s="194"/>
      <c r="BS150" s="328">
        <v>8000</v>
      </c>
      <c r="BT150" s="194" t="s">
        <v>80</v>
      </c>
      <c r="BU150" s="321"/>
      <c r="BV150" s="194"/>
      <c r="BW150" s="97">
        <f t="shared" si="90"/>
        <v>106000</v>
      </c>
      <c r="BX150" s="384"/>
      <c r="BY150" s="313"/>
      <c r="BZ150" s="45"/>
      <c r="CA150" s="45"/>
      <c r="CB150" s="97"/>
      <c r="CC150" s="45"/>
      <c r="CD150" s="546"/>
      <c r="CE150" s="546"/>
      <c r="CF150" s="313"/>
      <c r="CG150" s="45"/>
      <c r="CH150" s="45"/>
      <c r="CI150" s="97"/>
      <c r="CJ150" s="45"/>
      <c r="CK150" s="546"/>
      <c r="CL150" s="546"/>
      <c r="CM150" s="313"/>
      <c r="CN150" s="45"/>
      <c r="CO150" s="45"/>
      <c r="CP150" s="97"/>
      <c r="CQ150" s="45"/>
      <c r="CR150" s="546"/>
      <c r="CS150" s="546"/>
      <c r="CT150" s="313"/>
      <c r="CU150" s="45"/>
      <c r="CV150" s="45"/>
      <c r="CW150" s="97"/>
      <c r="CX150" s="45"/>
      <c r="CY150" s="546"/>
      <c r="CZ150" s="546"/>
      <c r="DA150" s="313"/>
      <c r="DB150" s="45"/>
      <c r="DC150" s="45"/>
      <c r="DD150" s="97"/>
      <c r="DE150" s="45"/>
      <c r="DF150" s="546"/>
      <c r="DG150" s="546"/>
      <c r="DH150" s="313"/>
      <c r="DI150" s="45"/>
      <c r="DJ150" s="45"/>
      <c r="DK150" s="97"/>
      <c r="DL150" s="45"/>
      <c r="DM150" s="546"/>
      <c r="DN150" s="546"/>
    </row>
    <row r="151" spans="2:118" s="343" customFormat="1" ht="87" customHeight="1">
      <c r="B151" s="536"/>
      <c r="C151" s="539"/>
      <c r="D151" s="416" t="s">
        <v>1319</v>
      </c>
      <c r="E151" s="432">
        <v>5.4999999999999997E-3</v>
      </c>
      <c r="F151" s="438" t="s">
        <v>90</v>
      </c>
      <c r="G151" s="316" t="s">
        <v>554</v>
      </c>
      <c r="H151" s="316" t="s">
        <v>1075</v>
      </c>
      <c r="I151" s="316" t="s">
        <v>555</v>
      </c>
      <c r="J151" s="385" t="s">
        <v>556</v>
      </c>
      <c r="K151" s="362">
        <v>45292</v>
      </c>
      <c r="L151" s="362">
        <v>47848</v>
      </c>
      <c r="M151" s="316" t="s">
        <v>97</v>
      </c>
      <c r="N151" s="316" t="s">
        <v>1310</v>
      </c>
      <c r="O151" s="316" t="s">
        <v>1311</v>
      </c>
      <c r="P151" s="316" t="s">
        <v>87</v>
      </c>
      <c r="Q151" s="316">
        <v>0</v>
      </c>
      <c r="R151" s="316">
        <v>2022</v>
      </c>
      <c r="S151" s="316"/>
      <c r="T151" s="316"/>
      <c r="U151" s="367">
        <v>0.4</v>
      </c>
      <c r="V151" s="367">
        <v>0.5</v>
      </c>
      <c r="W151" s="367">
        <v>0.6</v>
      </c>
      <c r="X151" s="367">
        <v>0.7</v>
      </c>
      <c r="Y151" s="367">
        <v>0.8</v>
      </c>
      <c r="Z151" s="367">
        <v>0.9</v>
      </c>
      <c r="AA151" s="367">
        <v>1</v>
      </c>
      <c r="AB151" s="367">
        <v>1</v>
      </c>
      <c r="AC151" s="333"/>
      <c r="AD151" s="333"/>
      <c r="AE151" s="333">
        <v>11000</v>
      </c>
      <c r="AF151" s="333">
        <v>45000</v>
      </c>
      <c r="AG151" s="333">
        <v>45000</v>
      </c>
      <c r="AH151" s="333"/>
      <c r="AI151" s="333">
        <v>52</v>
      </c>
      <c r="AJ151" s="333">
        <v>53</v>
      </c>
      <c r="AK151" s="333"/>
      <c r="AL151" s="467">
        <f t="shared" si="83"/>
        <v>101105</v>
      </c>
      <c r="AM151" s="338"/>
      <c r="AN151" s="316"/>
      <c r="AO151" s="338"/>
      <c r="AP151" s="338"/>
      <c r="AQ151" s="338"/>
      <c r="AR151" s="316"/>
      <c r="AS151" s="338"/>
      <c r="AT151" s="338"/>
      <c r="AU151" s="373">
        <v>11000</v>
      </c>
      <c r="AV151" s="316" t="s">
        <v>80</v>
      </c>
      <c r="AW151" s="338"/>
      <c r="AX151" s="338"/>
      <c r="AY151" s="373">
        <v>45000</v>
      </c>
      <c r="AZ151" s="316" t="s">
        <v>80</v>
      </c>
      <c r="BA151" s="338"/>
      <c r="BB151" s="338"/>
      <c r="BC151" s="373">
        <v>45000</v>
      </c>
      <c r="BD151" s="316" t="s">
        <v>80</v>
      </c>
      <c r="BE151" s="338"/>
      <c r="BF151" s="338"/>
      <c r="BG151" s="400">
        <v>0</v>
      </c>
      <c r="BH151" s="316" t="s">
        <v>126</v>
      </c>
      <c r="BI151" s="338"/>
      <c r="BJ151" s="338"/>
      <c r="BK151" s="400">
        <v>52</v>
      </c>
      <c r="BL151" s="316" t="s">
        <v>126</v>
      </c>
      <c r="BM151" s="194"/>
      <c r="BN151" s="194"/>
      <c r="BO151" s="214"/>
      <c r="BP151" s="194"/>
      <c r="BQ151" s="214"/>
      <c r="BR151" s="194"/>
      <c r="BS151" s="214"/>
      <c r="BT151" s="194"/>
      <c r="BU151" s="214"/>
      <c r="BV151" s="194"/>
      <c r="BW151" s="97">
        <f t="shared" si="90"/>
        <v>101052</v>
      </c>
      <c r="BX151" s="450"/>
      <c r="BY151" s="313"/>
      <c r="BZ151" s="45"/>
      <c r="CA151" s="45"/>
      <c r="CB151" s="97"/>
      <c r="CC151" s="45"/>
      <c r="CD151" s="546"/>
      <c r="CE151" s="546"/>
      <c r="CF151" s="313"/>
      <c r="CG151" s="45"/>
      <c r="CH151" s="45"/>
      <c r="CI151" s="97"/>
      <c r="CJ151" s="45"/>
      <c r="CK151" s="546"/>
      <c r="CL151" s="546"/>
      <c r="CM151" s="313"/>
      <c r="CN151" s="45"/>
      <c r="CO151" s="45"/>
      <c r="CP151" s="97"/>
      <c r="CQ151" s="45"/>
      <c r="CR151" s="546"/>
      <c r="CS151" s="546"/>
      <c r="CT151" s="313"/>
      <c r="CU151" s="45"/>
      <c r="CV151" s="45"/>
      <c r="CW151" s="97"/>
      <c r="CX151" s="45"/>
      <c r="CY151" s="546"/>
      <c r="CZ151" s="546"/>
      <c r="DA151" s="313"/>
      <c r="DB151" s="45"/>
      <c r="DC151" s="45"/>
      <c r="DD151" s="97"/>
      <c r="DE151" s="45"/>
      <c r="DF151" s="546"/>
      <c r="DG151" s="546"/>
      <c r="DH151" s="313"/>
      <c r="DI151" s="45"/>
      <c r="DJ151" s="45"/>
      <c r="DK151" s="97"/>
      <c r="DL151" s="45"/>
      <c r="DM151" s="546"/>
      <c r="DN151" s="546"/>
    </row>
    <row r="152" spans="2:118" s="376" customFormat="1" ht="38.25">
      <c r="B152" s="536"/>
      <c r="C152" s="539"/>
      <c r="D152" s="306" t="s">
        <v>1320</v>
      </c>
      <c r="E152" s="432">
        <v>5.5999999999999999E-3</v>
      </c>
      <c r="F152" s="438" t="s">
        <v>90</v>
      </c>
      <c r="G152" s="216" t="s">
        <v>530</v>
      </c>
      <c r="H152" s="316" t="s">
        <v>542</v>
      </c>
      <c r="I152" s="438" t="s">
        <v>139</v>
      </c>
      <c r="J152" s="385" t="s">
        <v>140</v>
      </c>
      <c r="K152" s="361">
        <v>44713</v>
      </c>
      <c r="L152" s="156">
        <v>47848</v>
      </c>
      <c r="M152" s="315" t="s">
        <v>97</v>
      </c>
      <c r="N152" s="315" t="s">
        <v>1273</v>
      </c>
      <c r="O152" s="315" t="s">
        <v>1274</v>
      </c>
      <c r="P152" s="371" t="s">
        <v>125</v>
      </c>
      <c r="Q152" s="316">
        <v>4</v>
      </c>
      <c r="R152" s="338">
        <v>2021</v>
      </c>
      <c r="S152" s="338">
        <v>10</v>
      </c>
      <c r="T152" s="338">
        <v>10</v>
      </c>
      <c r="U152" s="338">
        <v>10</v>
      </c>
      <c r="V152" s="338">
        <v>10</v>
      </c>
      <c r="W152" s="338">
        <v>10</v>
      </c>
      <c r="X152" s="338">
        <v>10</v>
      </c>
      <c r="Y152" s="338">
        <v>10</v>
      </c>
      <c r="Z152" s="338">
        <v>10</v>
      </c>
      <c r="AA152" s="338">
        <v>10</v>
      </c>
      <c r="AB152" s="338">
        <v>10</v>
      </c>
      <c r="AC152" s="328"/>
      <c r="AD152" s="328"/>
      <c r="AE152" s="328"/>
      <c r="AF152" s="328"/>
      <c r="AG152" s="328"/>
      <c r="AH152" s="328"/>
      <c r="AI152" s="328"/>
      <c r="AJ152" s="328"/>
      <c r="AK152" s="328"/>
      <c r="AL152" s="387" t="str">
        <f t="shared" si="83"/>
        <v/>
      </c>
      <c r="AM152" s="190"/>
      <c r="AN152" s="373" t="s">
        <v>126</v>
      </c>
      <c r="AO152" s="190"/>
      <c r="AP152" s="194"/>
      <c r="AQ152" s="190"/>
      <c r="AR152" s="373" t="s">
        <v>126</v>
      </c>
      <c r="AS152" s="190"/>
      <c r="AT152" s="194"/>
      <c r="AU152" s="321"/>
      <c r="AV152" s="373" t="s">
        <v>126</v>
      </c>
      <c r="AW152" s="321"/>
      <c r="AX152" s="194"/>
      <c r="AY152" s="321"/>
      <c r="AZ152" s="373" t="s">
        <v>126</v>
      </c>
      <c r="BA152" s="321"/>
      <c r="BB152" s="194"/>
      <c r="BC152" s="321"/>
      <c r="BD152" s="373" t="s">
        <v>126</v>
      </c>
      <c r="BE152" s="321"/>
      <c r="BF152" s="194"/>
      <c r="BG152" s="321"/>
      <c r="BH152" s="373" t="s">
        <v>126</v>
      </c>
      <c r="BI152" s="321"/>
      <c r="BJ152" s="194"/>
      <c r="BK152" s="321"/>
      <c r="BL152" s="373" t="s">
        <v>126</v>
      </c>
      <c r="BM152" s="321"/>
      <c r="BN152" s="194"/>
      <c r="BO152" s="321"/>
      <c r="BP152" s="373" t="s">
        <v>126</v>
      </c>
      <c r="BQ152" s="321"/>
      <c r="BR152" s="194"/>
      <c r="BS152" s="190"/>
      <c r="BT152" s="373" t="s">
        <v>126</v>
      </c>
      <c r="BU152" s="190"/>
      <c r="BV152" s="194"/>
      <c r="BW152" s="97" t="str">
        <f t="shared" si="90"/>
        <v/>
      </c>
      <c r="BX152" s="384"/>
      <c r="BY152" s="313"/>
      <c r="BZ152" s="45"/>
      <c r="CA152" s="45"/>
      <c r="CB152" s="97"/>
      <c r="CC152" s="45"/>
      <c r="CD152" s="546"/>
      <c r="CE152" s="546"/>
      <c r="CF152" s="313"/>
      <c r="CG152" s="45"/>
      <c r="CH152" s="45"/>
      <c r="CI152" s="97"/>
      <c r="CJ152" s="45"/>
      <c r="CK152" s="546"/>
      <c r="CL152" s="546"/>
      <c r="CM152" s="313"/>
      <c r="CN152" s="45"/>
      <c r="CO152" s="45"/>
      <c r="CP152" s="97"/>
      <c r="CQ152" s="45"/>
      <c r="CR152" s="546"/>
      <c r="CS152" s="546"/>
      <c r="CT152" s="313"/>
      <c r="CU152" s="45"/>
      <c r="CV152" s="45"/>
      <c r="CW152" s="97"/>
      <c r="CX152" s="45"/>
      <c r="CY152" s="546"/>
      <c r="CZ152" s="546"/>
      <c r="DA152" s="313"/>
      <c r="DB152" s="45"/>
      <c r="DC152" s="45"/>
      <c r="DD152" s="97"/>
      <c r="DE152" s="45"/>
      <c r="DF152" s="546"/>
      <c r="DG152" s="546"/>
      <c r="DH152" s="313"/>
      <c r="DI152" s="45"/>
      <c r="DJ152" s="45"/>
      <c r="DK152" s="97"/>
      <c r="DL152" s="45"/>
      <c r="DM152" s="546"/>
      <c r="DN152" s="546"/>
    </row>
    <row r="153" spans="2:118" s="376" customFormat="1" ht="51">
      <c r="B153" s="536"/>
      <c r="C153" s="539"/>
      <c r="D153" s="306" t="s">
        <v>1321</v>
      </c>
      <c r="E153" s="432">
        <v>5.1999999999999998E-3</v>
      </c>
      <c r="F153" s="438" t="s">
        <v>90</v>
      </c>
      <c r="G153" s="438" t="s">
        <v>74</v>
      </c>
      <c r="H153" s="316" t="s">
        <v>75</v>
      </c>
      <c r="I153" s="316" t="s">
        <v>76</v>
      </c>
      <c r="J153" s="385" t="s">
        <v>77</v>
      </c>
      <c r="K153" s="361">
        <v>44682</v>
      </c>
      <c r="L153" s="156">
        <v>44926</v>
      </c>
      <c r="M153" s="316" t="s">
        <v>78</v>
      </c>
      <c r="N153" s="316" t="s">
        <v>559</v>
      </c>
      <c r="O153" s="316" t="s">
        <v>559</v>
      </c>
      <c r="P153" s="316" t="s">
        <v>87</v>
      </c>
      <c r="Q153" s="338">
        <v>0</v>
      </c>
      <c r="R153" s="338">
        <v>2022</v>
      </c>
      <c r="S153" s="338">
        <v>3</v>
      </c>
      <c r="T153" s="338"/>
      <c r="U153" s="338" t="s">
        <v>81</v>
      </c>
      <c r="V153" s="338"/>
      <c r="W153" s="338"/>
      <c r="X153" s="338"/>
      <c r="Y153" s="338"/>
      <c r="Z153" s="338"/>
      <c r="AA153" s="338"/>
      <c r="AB153" s="338">
        <v>3</v>
      </c>
      <c r="AC153" s="328">
        <v>70</v>
      </c>
      <c r="AD153" s="328"/>
      <c r="AE153" s="328"/>
      <c r="AF153" s="328"/>
      <c r="AG153" s="328"/>
      <c r="AH153" s="328"/>
      <c r="AI153" s="328"/>
      <c r="AJ153" s="328"/>
      <c r="AK153" s="328"/>
      <c r="AL153" s="387">
        <f t="shared" si="83"/>
        <v>70</v>
      </c>
      <c r="AM153" s="190">
        <v>70</v>
      </c>
      <c r="AN153" s="373" t="s">
        <v>126</v>
      </c>
      <c r="AO153" s="190"/>
      <c r="AP153" s="194"/>
      <c r="AQ153" s="190"/>
      <c r="AR153" s="194"/>
      <c r="AS153" s="190"/>
      <c r="AT153" s="194"/>
      <c r="AU153" s="321"/>
      <c r="AV153" s="194"/>
      <c r="AW153" s="321"/>
      <c r="AX153" s="194"/>
      <c r="AY153" s="321"/>
      <c r="AZ153" s="194"/>
      <c r="BA153" s="321"/>
      <c r="BB153" s="194"/>
      <c r="BC153" s="321"/>
      <c r="BD153" s="194"/>
      <c r="BE153" s="321"/>
      <c r="BF153" s="194"/>
      <c r="BG153" s="321"/>
      <c r="BH153" s="194"/>
      <c r="BI153" s="321"/>
      <c r="BJ153" s="194"/>
      <c r="BK153" s="321"/>
      <c r="BL153" s="194"/>
      <c r="BM153" s="321"/>
      <c r="BN153" s="194"/>
      <c r="BO153" s="321"/>
      <c r="BP153" s="194"/>
      <c r="BQ153" s="321"/>
      <c r="BR153" s="194"/>
      <c r="BS153" s="190"/>
      <c r="BT153" s="194"/>
      <c r="BU153" s="190"/>
      <c r="BV153" s="194"/>
      <c r="BW153" s="97">
        <f t="shared" si="90"/>
        <v>70</v>
      </c>
      <c r="BX153" s="384"/>
      <c r="BY153" s="313"/>
      <c r="BZ153" s="45"/>
      <c r="CA153" s="45"/>
      <c r="CB153" s="97"/>
      <c r="CC153" s="45"/>
      <c r="CD153" s="546"/>
      <c r="CE153" s="546"/>
      <c r="CF153" s="313"/>
      <c r="CG153" s="45"/>
      <c r="CH153" s="45"/>
      <c r="CI153" s="97"/>
      <c r="CJ153" s="45"/>
      <c r="CK153" s="546"/>
      <c r="CL153" s="546"/>
      <c r="CM153" s="313"/>
      <c r="CN153" s="45"/>
      <c r="CO153" s="45"/>
      <c r="CP153" s="97"/>
      <c r="CQ153" s="45"/>
      <c r="CR153" s="546"/>
      <c r="CS153" s="546"/>
      <c r="CT153" s="313"/>
      <c r="CU153" s="45"/>
      <c r="CV153" s="45"/>
      <c r="CW153" s="97"/>
      <c r="CX153" s="45"/>
      <c r="CY153" s="546"/>
      <c r="CZ153" s="546"/>
      <c r="DA153" s="313"/>
      <c r="DB153" s="45"/>
      <c r="DC153" s="45"/>
      <c r="DD153" s="97"/>
      <c r="DE153" s="45"/>
      <c r="DF153" s="546"/>
      <c r="DG153" s="546"/>
      <c r="DH153" s="313"/>
      <c r="DI153" s="45"/>
      <c r="DJ153" s="45"/>
      <c r="DK153" s="97"/>
      <c r="DL153" s="45"/>
      <c r="DM153" s="546"/>
      <c r="DN153" s="546"/>
    </row>
    <row r="154" spans="2:118" s="376" customFormat="1" ht="76.5">
      <c r="B154" s="536"/>
      <c r="C154" s="539"/>
      <c r="D154" s="233" t="s">
        <v>1322</v>
      </c>
      <c r="E154" s="432">
        <v>5.1999999999999998E-3</v>
      </c>
      <c r="F154" s="438" t="s">
        <v>90</v>
      </c>
      <c r="G154" s="438" t="s">
        <v>549</v>
      </c>
      <c r="H154" s="338" t="s">
        <v>560</v>
      </c>
      <c r="I154" s="438" t="s">
        <v>551</v>
      </c>
      <c r="J154" s="385" t="s">
        <v>552</v>
      </c>
      <c r="K154" s="361">
        <v>44713</v>
      </c>
      <c r="L154" s="156">
        <v>47848</v>
      </c>
      <c r="M154" s="315" t="s">
        <v>97</v>
      </c>
      <c r="N154" s="316" t="s">
        <v>561</v>
      </c>
      <c r="O154" s="371" t="s">
        <v>1076</v>
      </c>
      <c r="P154" s="315" t="s">
        <v>87</v>
      </c>
      <c r="Q154" s="359">
        <v>0</v>
      </c>
      <c r="R154" s="197">
        <v>2022</v>
      </c>
      <c r="S154" s="359">
        <v>0.14499999999999999</v>
      </c>
      <c r="T154" s="359">
        <v>0.38939999999999997</v>
      </c>
      <c r="U154" s="359">
        <v>0.73339999999999994</v>
      </c>
      <c r="V154" s="359">
        <v>0.77779999999999994</v>
      </c>
      <c r="W154" s="359">
        <v>0.82219999999999993</v>
      </c>
      <c r="X154" s="359">
        <v>0.86659999999999993</v>
      </c>
      <c r="Y154" s="359">
        <v>0.91099999999999992</v>
      </c>
      <c r="Z154" s="359">
        <v>0.95539999999999992</v>
      </c>
      <c r="AA154" s="359">
        <v>0.99979999999999991</v>
      </c>
      <c r="AB154" s="359">
        <v>0.99979999999999991</v>
      </c>
      <c r="AC154" s="328"/>
      <c r="AD154" s="328">
        <v>200</v>
      </c>
      <c r="AE154" s="328">
        <v>210</v>
      </c>
      <c r="AF154" s="328">
        <v>220.5</v>
      </c>
      <c r="AG154" s="328">
        <v>232</v>
      </c>
      <c r="AH154" s="328">
        <v>244</v>
      </c>
      <c r="AI154" s="328">
        <v>256</v>
      </c>
      <c r="AJ154" s="328">
        <v>269</v>
      </c>
      <c r="AK154" s="328">
        <v>282</v>
      </c>
      <c r="AL154" s="387">
        <f t="shared" si="83"/>
        <v>1913.5</v>
      </c>
      <c r="AM154" s="314"/>
      <c r="AN154" s="314"/>
      <c r="AO154" s="314"/>
      <c r="AP154" s="314"/>
      <c r="AQ154" s="253">
        <v>200</v>
      </c>
      <c r="AR154" s="373" t="s">
        <v>126</v>
      </c>
      <c r="AS154" s="314"/>
      <c r="AT154" s="314"/>
      <c r="AU154" s="253">
        <v>210</v>
      </c>
      <c r="AV154" s="373" t="s">
        <v>126</v>
      </c>
      <c r="AW154" s="314"/>
      <c r="AX154" s="314"/>
      <c r="AY154" s="253">
        <v>220.5</v>
      </c>
      <c r="AZ154" s="373" t="s">
        <v>126</v>
      </c>
      <c r="BA154" s="314"/>
      <c r="BB154" s="314"/>
      <c r="BC154" s="253">
        <v>232</v>
      </c>
      <c r="BD154" s="373" t="s">
        <v>126</v>
      </c>
      <c r="BE154" s="314"/>
      <c r="BF154" s="314"/>
      <c r="BG154" s="253">
        <v>244</v>
      </c>
      <c r="BH154" s="373" t="s">
        <v>126</v>
      </c>
      <c r="BI154" s="314"/>
      <c r="BJ154" s="314"/>
      <c r="BK154" s="253">
        <v>256</v>
      </c>
      <c r="BL154" s="373" t="s">
        <v>126</v>
      </c>
      <c r="BM154" s="314"/>
      <c r="BN154" s="314"/>
      <c r="BO154" s="253">
        <v>269</v>
      </c>
      <c r="BP154" s="314"/>
      <c r="BQ154" s="314"/>
      <c r="BR154" s="314"/>
      <c r="BS154" s="253">
        <v>282</v>
      </c>
      <c r="BT154" s="373" t="s">
        <v>126</v>
      </c>
      <c r="BU154" s="314"/>
      <c r="BV154" s="314"/>
      <c r="BW154" s="97">
        <f t="shared" si="90"/>
        <v>1913.5</v>
      </c>
      <c r="BX154" s="384"/>
      <c r="BY154" s="313"/>
      <c r="BZ154" s="45"/>
      <c r="CA154" s="45"/>
      <c r="CB154" s="97"/>
      <c r="CC154" s="45"/>
      <c r="CD154" s="546"/>
      <c r="CE154" s="546"/>
      <c r="CF154" s="313"/>
      <c r="CG154" s="45"/>
      <c r="CH154" s="45"/>
      <c r="CI154" s="97"/>
      <c r="CJ154" s="45"/>
      <c r="CK154" s="546"/>
      <c r="CL154" s="546"/>
      <c r="CM154" s="313"/>
      <c r="CN154" s="45"/>
      <c r="CO154" s="45"/>
      <c r="CP154" s="97"/>
      <c r="CQ154" s="45"/>
      <c r="CR154" s="546"/>
      <c r="CS154" s="546"/>
      <c r="CT154" s="313"/>
      <c r="CU154" s="45"/>
      <c r="CV154" s="45"/>
      <c r="CW154" s="97"/>
      <c r="CX154" s="45"/>
      <c r="CY154" s="546"/>
      <c r="CZ154" s="546"/>
      <c r="DA154" s="313"/>
      <c r="DB154" s="45"/>
      <c r="DC154" s="45"/>
      <c r="DD154" s="97"/>
      <c r="DE154" s="45"/>
      <c r="DF154" s="546"/>
      <c r="DG154" s="546"/>
      <c r="DH154" s="313"/>
      <c r="DI154" s="45"/>
      <c r="DJ154" s="45"/>
      <c r="DK154" s="97"/>
      <c r="DL154" s="45"/>
      <c r="DM154" s="546"/>
      <c r="DN154" s="546"/>
    </row>
    <row r="155" spans="2:118" ht="76.5">
      <c r="B155" s="536"/>
      <c r="C155" s="539"/>
      <c r="D155" s="298" t="s">
        <v>1323</v>
      </c>
      <c r="E155" s="432">
        <v>5.1999999999999998E-3</v>
      </c>
      <c r="F155" s="437" t="s">
        <v>90</v>
      </c>
      <c r="G155" s="187" t="s">
        <v>147</v>
      </c>
      <c r="H155" s="187" t="s">
        <v>148</v>
      </c>
      <c r="I155" s="187" t="s">
        <v>149</v>
      </c>
      <c r="J155" s="385" t="s">
        <v>150</v>
      </c>
      <c r="K155" s="192">
        <v>44713</v>
      </c>
      <c r="L155" s="207">
        <v>46387</v>
      </c>
      <c r="M155" s="193" t="s">
        <v>78</v>
      </c>
      <c r="N155" s="193" t="s">
        <v>1077</v>
      </c>
      <c r="O155" s="193" t="s">
        <v>1275</v>
      </c>
      <c r="P155" s="193" t="s">
        <v>87</v>
      </c>
      <c r="Q155" s="411">
        <v>0.05</v>
      </c>
      <c r="R155" s="299">
        <v>2021</v>
      </c>
      <c r="S155" s="294">
        <v>0.2</v>
      </c>
      <c r="T155" s="294">
        <v>0.4</v>
      </c>
      <c r="U155" s="294">
        <v>0.6</v>
      </c>
      <c r="V155" s="294">
        <v>0.8</v>
      </c>
      <c r="W155" s="294">
        <v>1</v>
      </c>
      <c r="X155" s="294"/>
      <c r="Y155" s="297"/>
      <c r="Z155" s="297"/>
      <c r="AA155" s="297"/>
      <c r="AB155" s="294">
        <v>1</v>
      </c>
      <c r="AC155" s="330">
        <v>40</v>
      </c>
      <c r="AD155" s="330"/>
      <c r="AE155" s="330">
        <f>AC155*(1+6%)</f>
        <v>42.400000000000006</v>
      </c>
      <c r="AF155" s="330"/>
      <c r="AG155" s="330">
        <f>AE155*(1+6%)</f>
        <v>44.94400000000001</v>
      </c>
      <c r="AH155" s="330"/>
      <c r="AI155" s="330"/>
      <c r="AJ155" s="330"/>
      <c r="AK155" s="330"/>
      <c r="AL155" s="454">
        <f t="shared" si="83"/>
        <v>127.34400000000002</v>
      </c>
      <c r="AM155" s="297">
        <v>40</v>
      </c>
      <c r="AN155" s="222" t="s">
        <v>114</v>
      </c>
      <c r="AO155" s="297"/>
      <c r="AP155" s="222"/>
      <c r="AQ155" s="222"/>
      <c r="AR155" s="222"/>
      <c r="AS155" s="222"/>
      <c r="AT155" s="222"/>
      <c r="AU155" s="300">
        <v>42.400000000000006</v>
      </c>
      <c r="AV155" s="222" t="s">
        <v>114</v>
      </c>
      <c r="AW155" s="222"/>
      <c r="AX155" s="222"/>
      <c r="AY155" s="297"/>
      <c r="AZ155" s="469"/>
      <c r="BA155" s="208"/>
      <c r="BB155" s="208"/>
      <c r="BC155" s="300">
        <v>44.94400000000001</v>
      </c>
      <c r="BD155" s="222" t="s">
        <v>114</v>
      </c>
      <c r="BE155" s="208"/>
      <c r="BF155" s="208"/>
      <c r="BG155" s="208"/>
      <c r="BH155" s="208"/>
      <c r="BI155" s="208"/>
      <c r="BJ155" s="208"/>
      <c r="BK155" s="208"/>
      <c r="BL155" s="208"/>
      <c r="BM155" s="208"/>
      <c r="BN155" s="208"/>
      <c r="BO155" s="210"/>
      <c r="BP155" s="208"/>
      <c r="BQ155" s="210"/>
      <c r="BR155" s="208"/>
      <c r="BS155" s="210"/>
      <c r="BT155" s="208"/>
      <c r="BU155" s="210"/>
      <c r="BV155" s="208"/>
      <c r="BW155" s="97">
        <f t="shared" si="90"/>
        <v>127.34400000000002</v>
      </c>
      <c r="BX155" s="384"/>
      <c r="BY155" s="110"/>
      <c r="BZ155" s="45"/>
      <c r="CA155" s="45"/>
      <c r="CB155" s="97"/>
      <c r="CC155" s="45"/>
      <c r="CD155" s="546"/>
      <c r="CE155" s="546"/>
      <c r="CF155" s="110"/>
      <c r="CG155" s="45"/>
      <c r="CH155" s="45"/>
      <c r="CI155" s="97"/>
      <c r="CJ155" s="198"/>
      <c r="CK155" s="546"/>
      <c r="CL155" s="546"/>
      <c r="CM155" s="292"/>
      <c r="CN155" s="198"/>
      <c r="CO155" s="198"/>
      <c r="CP155" s="199"/>
      <c r="CQ155" s="198"/>
      <c r="CR155" s="546"/>
      <c r="CS155" s="546"/>
      <c r="CT155" s="292"/>
      <c r="CU155" s="198"/>
      <c r="CV155" s="198"/>
      <c r="CW155" s="199"/>
      <c r="CX155" s="198"/>
      <c r="CY155" s="546"/>
      <c r="CZ155" s="546"/>
      <c r="DA155" s="292"/>
      <c r="DB155" s="198"/>
      <c r="DC155" s="198"/>
      <c r="DD155" s="199"/>
      <c r="DE155" s="198"/>
      <c r="DF155" s="546"/>
      <c r="DG155" s="546"/>
      <c r="DH155" s="292"/>
      <c r="DI155" s="198"/>
      <c r="DJ155" s="198"/>
      <c r="DK155" s="199"/>
      <c r="DL155" s="198"/>
      <c r="DM155" s="546"/>
      <c r="DN155" s="546"/>
    </row>
    <row r="156" spans="2:118" s="376" customFormat="1" ht="191.25">
      <c r="B156" s="536"/>
      <c r="C156" s="539"/>
      <c r="D156" s="366" t="s">
        <v>1324</v>
      </c>
      <c r="E156" s="432">
        <v>5.1999999999999998E-3</v>
      </c>
      <c r="F156" s="438" t="s">
        <v>90</v>
      </c>
      <c r="G156" s="316" t="s">
        <v>1078</v>
      </c>
      <c r="H156" s="438" t="s">
        <v>1079</v>
      </c>
      <c r="I156" s="438" t="s">
        <v>1080</v>
      </c>
      <c r="J156" s="385" t="s">
        <v>1081</v>
      </c>
      <c r="K156" s="361">
        <v>44682</v>
      </c>
      <c r="L156" s="156">
        <v>47848</v>
      </c>
      <c r="M156" s="315" t="s">
        <v>78</v>
      </c>
      <c r="N156" s="315" t="s">
        <v>1082</v>
      </c>
      <c r="O156" s="315" t="s">
        <v>1083</v>
      </c>
      <c r="P156" s="315" t="s">
        <v>87</v>
      </c>
      <c r="Q156" s="203">
        <v>0.1</v>
      </c>
      <c r="R156" s="219">
        <v>2022</v>
      </c>
      <c r="S156" s="203">
        <v>0.15</v>
      </c>
      <c r="T156" s="203">
        <v>0.35</v>
      </c>
      <c r="U156" s="203">
        <v>0.5</v>
      </c>
      <c r="V156" s="203">
        <v>0.55000000000000004</v>
      </c>
      <c r="W156" s="203">
        <v>0.6</v>
      </c>
      <c r="X156" s="203">
        <v>0.7</v>
      </c>
      <c r="Y156" s="203">
        <v>0.8</v>
      </c>
      <c r="Z156" s="203">
        <v>0.9</v>
      </c>
      <c r="AA156" s="203">
        <v>1</v>
      </c>
      <c r="AB156" s="203">
        <v>1</v>
      </c>
      <c r="AC156" s="328">
        <v>20</v>
      </c>
      <c r="AD156" s="328">
        <v>20.6</v>
      </c>
      <c r="AE156" s="328">
        <v>21.2</v>
      </c>
      <c r="AF156" s="328">
        <v>21.9</v>
      </c>
      <c r="AG156" s="328">
        <v>22.5</v>
      </c>
      <c r="AH156" s="328">
        <v>23.2</v>
      </c>
      <c r="AI156" s="328">
        <v>23.9</v>
      </c>
      <c r="AJ156" s="328">
        <v>24.6</v>
      </c>
      <c r="AK156" s="328">
        <v>25.3</v>
      </c>
      <c r="AL156" s="387">
        <f t="shared" si="83"/>
        <v>203.2</v>
      </c>
      <c r="AM156" s="220">
        <v>20</v>
      </c>
      <c r="AN156" s="221" t="s">
        <v>114</v>
      </c>
      <c r="AO156" s="220"/>
      <c r="AP156" s="221"/>
      <c r="AQ156" s="412">
        <v>20.6</v>
      </c>
      <c r="AR156" s="221" t="s">
        <v>114</v>
      </c>
      <c r="AS156" s="220"/>
      <c r="AT156" s="221"/>
      <c r="AU156" s="412">
        <v>21.2</v>
      </c>
      <c r="AV156" s="221" t="s">
        <v>114</v>
      </c>
      <c r="AW156" s="220"/>
      <c r="AX156" s="221"/>
      <c r="AY156" s="412">
        <v>21.9</v>
      </c>
      <c r="AZ156" s="221" t="s">
        <v>114</v>
      </c>
      <c r="BA156" s="220"/>
      <c r="BB156" s="221"/>
      <c r="BC156" s="412">
        <v>22.5</v>
      </c>
      <c r="BD156" s="221" t="s">
        <v>114</v>
      </c>
      <c r="BE156" s="220"/>
      <c r="BF156" s="221"/>
      <c r="BG156" s="412">
        <v>23.2</v>
      </c>
      <c r="BH156" s="221" t="s">
        <v>114</v>
      </c>
      <c r="BI156" s="220"/>
      <c r="BJ156" s="221"/>
      <c r="BK156" s="412">
        <v>23.9</v>
      </c>
      <c r="BL156" s="221" t="s">
        <v>114</v>
      </c>
      <c r="BM156" s="220"/>
      <c r="BN156" s="221"/>
      <c r="BO156" s="412">
        <v>24.6</v>
      </c>
      <c r="BP156" s="221" t="s">
        <v>114</v>
      </c>
      <c r="BQ156" s="220"/>
      <c r="BR156" s="221"/>
      <c r="BS156" s="412">
        <v>25.3</v>
      </c>
      <c r="BT156" s="221" t="s">
        <v>114</v>
      </c>
      <c r="BU156" s="220"/>
      <c r="BV156" s="221"/>
      <c r="BW156" s="97">
        <f t="shared" si="90"/>
        <v>203.2</v>
      </c>
      <c r="BX156" s="384"/>
      <c r="BY156" s="313"/>
      <c r="BZ156" s="45"/>
      <c r="CA156" s="45"/>
      <c r="CB156" s="97"/>
      <c r="CC156" s="45"/>
      <c r="CD156" s="546"/>
      <c r="CE156" s="546"/>
      <c r="CF156" s="313"/>
      <c r="CG156" s="45"/>
      <c r="CH156" s="45"/>
      <c r="CI156" s="97"/>
      <c r="CJ156" s="45"/>
      <c r="CK156" s="546"/>
      <c r="CL156" s="546"/>
      <c r="CM156" s="313"/>
      <c r="CN156" s="45"/>
      <c r="CO156" s="45"/>
      <c r="CP156" s="97"/>
      <c r="CQ156" s="45"/>
      <c r="CR156" s="546"/>
      <c r="CS156" s="546"/>
      <c r="CT156" s="313"/>
      <c r="CU156" s="45"/>
      <c r="CV156" s="45"/>
      <c r="CW156" s="97"/>
      <c r="CX156" s="45"/>
      <c r="CY156" s="546"/>
      <c r="CZ156" s="546"/>
      <c r="DA156" s="313"/>
      <c r="DB156" s="45"/>
      <c r="DC156" s="45"/>
      <c r="DD156" s="97"/>
      <c r="DE156" s="45"/>
      <c r="DF156" s="546"/>
      <c r="DG156" s="546"/>
      <c r="DH156" s="313"/>
      <c r="DI156" s="45"/>
      <c r="DJ156" s="45"/>
      <c r="DK156" s="97"/>
      <c r="DL156" s="45"/>
      <c r="DM156" s="546"/>
      <c r="DN156" s="546"/>
    </row>
    <row r="157" spans="2:118" s="376" customFormat="1" ht="102">
      <c r="B157" s="536"/>
      <c r="C157" s="539"/>
      <c r="D157" s="306" t="s">
        <v>1325</v>
      </c>
      <c r="E157" s="432">
        <v>5.1999999999999998E-3</v>
      </c>
      <c r="F157" s="438" t="s">
        <v>90</v>
      </c>
      <c r="G157" s="438" t="s">
        <v>562</v>
      </c>
      <c r="H157" s="438" t="s">
        <v>1084</v>
      </c>
      <c r="I157" s="438" t="s">
        <v>563</v>
      </c>
      <c r="J157" s="385" t="s">
        <v>564</v>
      </c>
      <c r="K157" s="361">
        <v>44928</v>
      </c>
      <c r="L157" s="156">
        <v>46752</v>
      </c>
      <c r="M157" s="315" t="s">
        <v>78</v>
      </c>
      <c r="N157" s="315" t="s">
        <v>1085</v>
      </c>
      <c r="O157" s="315" t="s">
        <v>1276</v>
      </c>
      <c r="P157" s="315" t="s">
        <v>87</v>
      </c>
      <c r="Q157" s="325">
        <v>0</v>
      </c>
      <c r="R157" s="200">
        <v>2022</v>
      </c>
      <c r="S157" s="203"/>
      <c r="T157" s="203">
        <v>0.2</v>
      </c>
      <c r="U157" s="203">
        <v>0.4</v>
      </c>
      <c r="V157" s="203">
        <v>0.6</v>
      </c>
      <c r="W157" s="203">
        <v>0.8</v>
      </c>
      <c r="X157" s="203">
        <v>1</v>
      </c>
      <c r="Y157" s="23"/>
      <c r="Z157" s="23"/>
      <c r="AA157" s="23"/>
      <c r="AB157" s="325">
        <v>1</v>
      </c>
      <c r="AC157" s="328"/>
      <c r="AD157" s="328"/>
      <c r="AE157" s="328"/>
      <c r="AF157" s="328"/>
      <c r="AG157" s="328"/>
      <c r="AH157" s="328"/>
      <c r="AI157" s="328"/>
      <c r="AJ157" s="328"/>
      <c r="AK157" s="328"/>
      <c r="AL157" s="387" t="str">
        <f t="shared" si="83"/>
        <v/>
      </c>
      <c r="AM157" s="190"/>
      <c r="AN157" s="23" t="s">
        <v>126</v>
      </c>
      <c r="AO157" s="190"/>
      <c r="AP157" s="23"/>
      <c r="AQ157" s="190"/>
      <c r="AR157" s="23" t="s">
        <v>126</v>
      </c>
      <c r="AS157" s="190"/>
      <c r="AT157" s="23"/>
      <c r="AU157" s="321"/>
      <c r="AV157" s="23" t="s">
        <v>126</v>
      </c>
      <c r="AW157" s="321"/>
      <c r="AX157" s="23"/>
      <c r="AY157" s="321"/>
      <c r="AZ157" s="23" t="s">
        <v>126</v>
      </c>
      <c r="BA157" s="413"/>
      <c r="BB157" s="413"/>
      <c r="BC157" s="296"/>
      <c r="BD157" s="23" t="s">
        <v>126</v>
      </c>
      <c r="BE157" s="314"/>
      <c r="BF157" s="314"/>
      <c r="BG157" s="296"/>
      <c r="BH157" s="23" t="s">
        <v>126</v>
      </c>
      <c r="BI157" s="413"/>
      <c r="BJ157" s="413"/>
      <c r="BK157" s="296"/>
      <c r="BL157" s="23"/>
      <c r="BM157" s="413"/>
      <c r="BN157" s="413"/>
      <c r="BO157" s="296"/>
      <c r="BP157" s="23"/>
      <c r="BQ157" s="314"/>
      <c r="BR157" s="314"/>
      <c r="BS157" s="296"/>
      <c r="BT157" s="23"/>
      <c r="BU157" s="413"/>
      <c r="BV157" s="413"/>
      <c r="BW157" s="97" t="str">
        <f t="shared" si="90"/>
        <v/>
      </c>
      <c r="BX157" s="384"/>
      <c r="BY157" s="313"/>
      <c r="BZ157" s="45"/>
      <c r="CA157" s="45"/>
      <c r="CB157" s="97"/>
      <c r="CC157" s="45"/>
      <c r="CD157" s="546"/>
      <c r="CE157" s="546"/>
      <c r="CF157" s="313"/>
      <c r="CG157" s="45"/>
      <c r="CH157" s="45"/>
      <c r="CI157" s="97"/>
      <c r="CJ157" s="45"/>
      <c r="CK157" s="546"/>
      <c r="CL157" s="546"/>
      <c r="CM157" s="313"/>
      <c r="CN157" s="45"/>
      <c r="CO157" s="45"/>
      <c r="CP157" s="97"/>
      <c r="CQ157" s="45"/>
      <c r="CR157" s="546"/>
      <c r="CS157" s="546"/>
      <c r="CT157" s="313"/>
      <c r="CU157" s="45"/>
      <c r="CV157" s="45"/>
      <c r="CW157" s="97"/>
      <c r="CX157" s="45"/>
      <c r="CY157" s="546"/>
      <c r="CZ157" s="546"/>
      <c r="DA157" s="313"/>
      <c r="DB157" s="45"/>
      <c r="DC157" s="45"/>
      <c r="DD157" s="97"/>
      <c r="DE157" s="45"/>
      <c r="DF157" s="546"/>
      <c r="DG157" s="546"/>
      <c r="DH157" s="313"/>
      <c r="DI157" s="45"/>
      <c r="DJ157" s="45"/>
      <c r="DK157" s="97"/>
      <c r="DL157" s="45"/>
      <c r="DM157" s="546"/>
      <c r="DN157" s="546"/>
    </row>
    <row r="158" spans="2:118" s="376" customFormat="1" ht="63.75">
      <c r="B158" s="536"/>
      <c r="C158" s="539"/>
      <c r="D158" s="306" t="s">
        <v>1326</v>
      </c>
      <c r="E158" s="432">
        <v>5.1999999999999998E-3</v>
      </c>
      <c r="F158" s="438" t="s">
        <v>90</v>
      </c>
      <c r="G158" s="438" t="s">
        <v>147</v>
      </c>
      <c r="H158" s="316" t="s">
        <v>565</v>
      </c>
      <c r="I158" s="438" t="s">
        <v>149</v>
      </c>
      <c r="J158" s="385" t="s">
        <v>150</v>
      </c>
      <c r="K158" s="362">
        <v>44713</v>
      </c>
      <c r="L158" s="362">
        <v>44926</v>
      </c>
      <c r="M158" s="316" t="s">
        <v>78</v>
      </c>
      <c r="N158" s="316" t="s">
        <v>566</v>
      </c>
      <c r="O158" s="316" t="s">
        <v>566</v>
      </c>
      <c r="P158" s="438" t="s">
        <v>87</v>
      </c>
      <c r="Q158" s="316">
        <v>0</v>
      </c>
      <c r="R158" s="316">
        <v>2022</v>
      </c>
      <c r="S158" s="316">
        <v>1</v>
      </c>
      <c r="T158" s="316"/>
      <c r="U158" s="316"/>
      <c r="V158" s="316"/>
      <c r="W158" s="316"/>
      <c r="X158" s="316"/>
      <c r="Y158" s="316"/>
      <c r="Z158" s="316"/>
      <c r="AA158" s="316"/>
      <c r="AB158" s="316">
        <v>1</v>
      </c>
      <c r="AC158" s="328"/>
      <c r="AD158" s="328"/>
      <c r="AE158" s="328"/>
      <c r="AF158" s="328"/>
      <c r="AG158" s="328"/>
      <c r="AH158" s="328"/>
      <c r="AI158" s="328"/>
      <c r="AJ158" s="328"/>
      <c r="AK158" s="328"/>
      <c r="AL158" s="387" t="str">
        <f t="shared" si="83"/>
        <v/>
      </c>
      <c r="AM158" s="214"/>
      <c r="AN158" s="194" t="s">
        <v>88</v>
      </c>
      <c r="AO158" s="214"/>
      <c r="AP158" s="194"/>
      <c r="AQ158" s="214"/>
      <c r="AR158" s="194"/>
      <c r="AS158" s="214"/>
      <c r="AT158" s="221"/>
      <c r="AU158" s="221"/>
      <c r="AV158" s="221"/>
      <c r="AW158" s="221"/>
      <c r="AX158" s="221"/>
      <c r="AY158" s="220"/>
      <c r="AZ158" s="470"/>
      <c r="BA158" s="194"/>
      <c r="BB158" s="194"/>
      <c r="BC158" s="408"/>
      <c r="BD158" s="194"/>
      <c r="BE158" s="408"/>
      <c r="BF158" s="23"/>
      <c r="BG158" s="194"/>
      <c r="BH158" s="23"/>
      <c r="BI158" s="194"/>
      <c r="BJ158" s="23"/>
      <c r="BK158" s="194"/>
      <c r="BL158" s="23"/>
      <c r="BM158" s="194"/>
      <c r="BN158" s="23"/>
      <c r="BO158" s="214"/>
      <c r="BP158" s="23"/>
      <c r="BQ158" s="214"/>
      <c r="BR158" s="23"/>
      <c r="BS158" s="214"/>
      <c r="BT158" s="23"/>
      <c r="BU158" s="214"/>
      <c r="BV158" s="23"/>
      <c r="BW158" s="97" t="str">
        <f t="shared" si="90"/>
        <v/>
      </c>
      <c r="BX158" s="384"/>
      <c r="BY158" s="439"/>
      <c r="BZ158" s="45"/>
      <c r="CA158" s="45"/>
      <c r="CB158" s="97"/>
      <c r="CC158" s="45"/>
      <c r="CD158" s="546"/>
      <c r="CE158" s="546"/>
      <c r="CF158" s="439"/>
      <c r="CG158" s="45"/>
      <c r="CH158" s="45"/>
      <c r="CI158" s="97"/>
      <c r="CJ158" s="45"/>
      <c r="CK158" s="546"/>
      <c r="CL158" s="546"/>
      <c r="CM158" s="439"/>
      <c r="CN158" s="45"/>
      <c r="CO158" s="45"/>
      <c r="CP158" s="97"/>
      <c r="CQ158" s="45"/>
      <c r="CR158" s="546"/>
      <c r="CS158" s="546"/>
      <c r="CT158" s="439"/>
      <c r="CU158" s="45"/>
      <c r="CV158" s="45"/>
      <c r="CW158" s="97"/>
      <c r="CX158" s="45"/>
      <c r="CY158" s="546"/>
      <c r="CZ158" s="546"/>
      <c r="DA158" s="439"/>
      <c r="DB158" s="45"/>
      <c r="DC158" s="45"/>
      <c r="DD158" s="97"/>
      <c r="DE158" s="45"/>
      <c r="DF158" s="546"/>
      <c r="DG158" s="546"/>
      <c r="DH158" s="439"/>
      <c r="DI158" s="45"/>
      <c r="DJ158" s="45"/>
      <c r="DK158" s="97"/>
      <c r="DL158" s="45"/>
      <c r="DM158" s="546"/>
      <c r="DN158" s="546"/>
    </row>
    <row r="159" spans="2:118" s="343" customFormat="1" ht="76.5">
      <c r="B159" s="536"/>
      <c r="C159" s="539"/>
      <c r="D159" s="416" t="s">
        <v>1450</v>
      </c>
      <c r="E159" s="432">
        <v>5.1999999999999998E-3</v>
      </c>
      <c r="F159" s="438" t="s">
        <v>90</v>
      </c>
      <c r="G159" s="316" t="s">
        <v>74</v>
      </c>
      <c r="H159" s="316" t="s">
        <v>96</v>
      </c>
      <c r="I159" s="316" t="s">
        <v>84</v>
      </c>
      <c r="J159" s="493" t="s">
        <v>85</v>
      </c>
      <c r="K159" s="362">
        <v>45047</v>
      </c>
      <c r="L159" s="362">
        <v>46356</v>
      </c>
      <c r="M159" s="316" t="s">
        <v>377</v>
      </c>
      <c r="N159" s="316" t="s">
        <v>1433</v>
      </c>
      <c r="O159" s="316" t="s">
        <v>1434</v>
      </c>
      <c r="P159" s="316" t="s">
        <v>79</v>
      </c>
      <c r="Q159" s="316">
        <v>0</v>
      </c>
      <c r="R159" s="197">
        <v>2022</v>
      </c>
      <c r="S159" s="338"/>
      <c r="T159" s="338">
        <v>10</v>
      </c>
      <c r="U159" s="338">
        <v>50</v>
      </c>
      <c r="V159" s="338">
        <v>80</v>
      </c>
      <c r="W159" s="338">
        <v>96</v>
      </c>
      <c r="X159" s="496" t="s">
        <v>81</v>
      </c>
      <c r="Y159" s="496" t="s">
        <v>81</v>
      </c>
      <c r="Z159" s="496" t="s">
        <v>81</v>
      </c>
      <c r="AA159" s="496" t="s">
        <v>81</v>
      </c>
      <c r="AB159" s="338">
        <v>96</v>
      </c>
      <c r="AC159" s="494"/>
      <c r="AD159" s="400">
        <v>30</v>
      </c>
      <c r="AE159" s="373">
        <v>100</v>
      </c>
      <c r="AF159" s="316" t="s">
        <v>1435</v>
      </c>
      <c r="AG159" s="316" t="s">
        <v>1436</v>
      </c>
      <c r="AH159" s="495" t="s">
        <v>81</v>
      </c>
      <c r="AI159" s="495" t="s">
        <v>81</v>
      </c>
      <c r="AJ159" s="495" t="s">
        <v>81</v>
      </c>
      <c r="AK159" s="495" t="s">
        <v>81</v>
      </c>
      <c r="AL159" s="316" t="s">
        <v>1437</v>
      </c>
      <c r="AM159" s="496" t="s">
        <v>81</v>
      </c>
      <c r="AN159" s="495" t="s">
        <v>81</v>
      </c>
      <c r="AO159" s="495" t="s">
        <v>81</v>
      </c>
      <c r="AP159" s="495" t="s">
        <v>81</v>
      </c>
      <c r="AQ159" s="400">
        <v>30</v>
      </c>
      <c r="AR159" s="316" t="s">
        <v>80</v>
      </c>
      <c r="AS159" s="316" t="s">
        <v>81</v>
      </c>
      <c r="AT159" s="316" t="s">
        <v>81</v>
      </c>
      <c r="AU159" s="316" t="s">
        <v>1438</v>
      </c>
      <c r="AV159" s="316" t="s">
        <v>80</v>
      </c>
      <c r="AW159" s="316" t="s">
        <v>81</v>
      </c>
      <c r="AX159" s="316" t="s">
        <v>81</v>
      </c>
      <c r="AY159" s="473">
        <v>200</v>
      </c>
      <c r="AZ159" s="316" t="s">
        <v>80</v>
      </c>
      <c r="BA159" s="316" t="s">
        <v>81</v>
      </c>
      <c r="BB159" s="316" t="s">
        <v>81</v>
      </c>
      <c r="BC159" s="473">
        <v>250</v>
      </c>
      <c r="BD159" s="316" t="s">
        <v>80</v>
      </c>
      <c r="BE159" s="395"/>
      <c r="BF159" s="23"/>
      <c r="BG159" s="194"/>
      <c r="BH159" s="23"/>
      <c r="BI159" s="194"/>
      <c r="BJ159" s="23"/>
      <c r="BK159" s="194"/>
      <c r="BL159" s="23"/>
      <c r="BM159" s="194"/>
      <c r="BN159" s="23"/>
      <c r="BO159" s="214"/>
      <c r="BP159" s="23"/>
      <c r="BQ159" s="214"/>
      <c r="BR159" s="23"/>
      <c r="BS159" s="214"/>
      <c r="BT159" s="23"/>
      <c r="BU159" s="214"/>
      <c r="BV159" s="23"/>
      <c r="BW159" s="97">
        <f>+BC159+AY159+AU159+AQ159</f>
        <v>580</v>
      </c>
      <c r="BX159" s="450"/>
      <c r="BY159" s="439"/>
      <c r="BZ159" s="45"/>
      <c r="CA159" s="45"/>
      <c r="CB159" s="97"/>
      <c r="CC159" s="45"/>
      <c r="CD159" s="546"/>
      <c r="CE159" s="546"/>
      <c r="CF159" s="439"/>
      <c r="CG159" s="45"/>
      <c r="CH159" s="45"/>
      <c r="CI159" s="97"/>
      <c r="CJ159" s="45"/>
      <c r="CK159" s="546"/>
      <c r="CL159" s="546"/>
      <c r="CM159" s="439"/>
      <c r="CN159" s="45"/>
      <c r="CO159" s="45"/>
      <c r="CP159" s="97"/>
      <c r="CQ159" s="45"/>
      <c r="CR159" s="546"/>
      <c r="CS159" s="546"/>
      <c r="CT159" s="439"/>
      <c r="CU159" s="45"/>
      <c r="CV159" s="45"/>
      <c r="CW159" s="97"/>
      <c r="CX159" s="45"/>
      <c r="CY159" s="546"/>
      <c r="CZ159" s="546"/>
      <c r="DA159" s="439"/>
      <c r="DB159" s="45"/>
      <c r="DC159" s="45"/>
      <c r="DD159" s="97"/>
      <c r="DE159" s="45"/>
      <c r="DF159" s="546"/>
      <c r="DG159" s="546"/>
      <c r="DH159" s="439"/>
      <c r="DI159" s="45"/>
      <c r="DJ159" s="45"/>
      <c r="DK159" s="97"/>
      <c r="DL159" s="45"/>
      <c r="DM159" s="546"/>
      <c r="DN159" s="546"/>
    </row>
    <row r="160" spans="2:118" s="376" customFormat="1" ht="127.5">
      <c r="B160" s="536"/>
      <c r="C160" s="539"/>
      <c r="D160" s="346" t="s">
        <v>1429</v>
      </c>
      <c r="E160" s="432">
        <v>5.1999999999999998E-3</v>
      </c>
      <c r="F160" s="438" t="s">
        <v>90</v>
      </c>
      <c r="G160" s="497" t="s">
        <v>137</v>
      </c>
      <c r="H160" s="497" t="s">
        <v>138</v>
      </c>
      <c r="I160" s="497" t="s">
        <v>186</v>
      </c>
      <c r="J160" s="498" t="s">
        <v>140</v>
      </c>
      <c r="K160" s="361">
        <v>44743</v>
      </c>
      <c r="L160" s="362">
        <v>47848</v>
      </c>
      <c r="M160" s="315" t="s">
        <v>78</v>
      </c>
      <c r="N160" s="316" t="s">
        <v>1425</v>
      </c>
      <c r="O160" s="316" t="s">
        <v>1451</v>
      </c>
      <c r="P160" s="499" t="s">
        <v>87</v>
      </c>
      <c r="Q160" s="500">
        <v>0</v>
      </c>
      <c r="R160" s="500">
        <v>2022</v>
      </c>
      <c r="S160" s="501">
        <v>0.2</v>
      </c>
      <c r="T160" s="501">
        <v>0.25</v>
      </c>
      <c r="U160" s="501">
        <v>0.3</v>
      </c>
      <c r="V160" s="367">
        <v>0.45</v>
      </c>
      <c r="W160" s="367">
        <v>0.5</v>
      </c>
      <c r="X160" s="367">
        <v>0.7</v>
      </c>
      <c r="Y160" s="367">
        <v>0.9</v>
      </c>
      <c r="Z160" s="367">
        <v>0.95</v>
      </c>
      <c r="AA160" s="367">
        <v>1</v>
      </c>
      <c r="AB160" s="367">
        <v>1</v>
      </c>
      <c r="AC160" s="328"/>
      <c r="AD160" s="328"/>
      <c r="AE160" s="328"/>
      <c r="AF160" s="328"/>
      <c r="AG160" s="328"/>
      <c r="AH160" s="328"/>
      <c r="AI160" s="328"/>
      <c r="AJ160" s="328"/>
      <c r="AK160" s="328"/>
      <c r="AL160" s="387"/>
      <c r="AM160" s="214"/>
      <c r="AN160" s="194" t="s">
        <v>88</v>
      </c>
      <c r="AO160" s="214"/>
      <c r="AP160" s="194"/>
      <c r="AQ160" s="194"/>
      <c r="AR160" s="194" t="s">
        <v>88</v>
      </c>
      <c r="AS160" s="194"/>
      <c r="AT160" s="194"/>
      <c r="AU160" s="194"/>
      <c r="AV160" s="194" t="s">
        <v>88</v>
      </c>
      <c r="AW160" s="194"/>
      <c r="AX160" s="194"/>
      <c r="AY160" s="194"/>
      <c r="AZ160" s="194" t="s">
        <v>88</v>
      </c>
      <c r="BA160" s="194"/>
      <c r="BB160" s="194"/>
      <c r="BC160" s="194"/>
      <c r="BD160" s="194" t="s">
        <v>88</v>
      </c>
      <c r="BE160" s="194"/>
      <c r="BF160" s="194"/>
      <c r="BG160" s="194"/>
      <c r="BH160" s="194" t="s">
        <v>88</v>
      </c>
      <c r="BI160" s="194"/>
      <c r="BJ160" s="194"/>
      <c r="BK160" s="194"/>
      <c r="BL160" s="194" t="s">
        <v>88</v>
      </c>
      <c r="BM160" s="194"/>
      <c r="BN160" s="194"/>
      <c r="BO160" s="214"/>
      <c r="BP160" s="194" t="s">
        <v>88</v>
      </c>
      <c r="BQ160" s="214"/>
      <c r="BR160" s="194"/>
      <c r="BS160" s="214"/>
      <c r="BT160" s="194" t="s">
        <v>88</v>
      </c>
      <c r="BU160" s="214"/>
      <c r="BV160" s="194"/>
      <c r="BW160" s="97" t="str">
        <f t="shared" si="90"/>
        <v/>
      </c>
      <c r="BX160" s="310"/>
      <c r="BY160" s="439"/>
      <c r="BZ160" s="194"/>
      <c r="CA160" s="45"/>
      <c r="CB160" s="194"/>
      <c r="CC160" s="45"/>
      <c r="CD160" s="546"/>
      <c r="CE160" s="546"/>
      <c r="CF160" s="439"/>
      <c r="CG160" s="45"/>
      <c r="CH160" s="45"/>
      <c r="CI160" s="97"/>
      <c r="CJ160" s="45"/>
      <c r="CK160" s="546"/>
      <c r="CL160" s="546"/>
      <c r="CM160" s="439"/>
      <c r="CN160" s="45"/>
      <c r="CO160" s="45"/>
      <c r="CP160" s="97"/>
      <c r="CQ160" s="45"/>
      <c r="CR160" s="546"/>
      <c r="CS160" s="546"/>
      <c r="CT160" s="439"/>
      <c r="CU160" s="45"/>
      <c r="CV160" s="45"/>
      <c r="CW160" s="97"/>
      <c r="CX160" s="45"/>
      <c r="CY160" s="546"/>
      <c r="CZ160" s="546"/>
      <c r="DA160" s="439"/>
      <c r="DB160" s="45"/>
      <c r="DC160" s="45"/>
      <c r="DD160" s="97"/>
      <c r="DE160" s="45"/>
      <c r="DF160" s="546"/>
      <c r="DG160" s="546"/>
      <c r="DH160" s="439"/>
      <c r="DI160" s="45"/>
      <c r="DJ160" s="45"/>
      <c r="DK160" s="97"/>
      <c r="DL160" s="45"/>
      <c r="DM160" s="546"/>
      <c r="DN160" s="546"/>
    </row>
    <row r="161" spans="2:118" s="376" customFormat="1" ht="51">
      <c r="B161" s="536"/>
      <c r="C161" s="539"/>
      <c r="D161" s="346" t="s">
        <v>1430</v>
      </c>
      <c r="E161" s="432">
        <v>5.7999999999999996E-3</v>
      </c>
      <c r="F161" s="438" t="s">
        <v>90</v>
      </c>
      <c r="G161" s="438" t="s">
        <v>137</v>
      </c>
      <c r="H161" s="438" t="s">
        <v>138</v>
      </c>
      <c r="I161" s="438" t="s">
        <v>186</v>
      </c>
      <c r="J161" s="385" t="s">
        <v>140</v>
      </c>
      <c r="K161" s="361">
        <v>44713</v>
      </c>
      <c r="L161" s="156">
        <v>47848</v>
      </c>
      <c r="M161" s="315" t="s">
        <v>97</v>
      </c>
      <c r="N161" s="316" t="s">
        <v>1277</v>
      </c>
      <c r="O161" s="316" t="s">
        <v>567</v>
      </c>
      <c r="P161" s="414" t="s">
        <v>87</v>
      </c>
      <c r="Q161" s="194">
        <v>22</v>
      </c>
      <c r="R161" s="245">
        <v>2022</v>
      </c>
      <c r="S161" s="194">
        <v>29</v>
      </c>
      <c r="T161" s="194">
        <v>50</v>
      </c>
      <c r="U161" s="194">
        <v>110</v>
      </c>
      <c r="V161" s="194">
        <v>200</v>
      </c>
      <c r="W161" s="194">
        <v>220</v>
      </c>
      <c r="X161" s="194">
        <v>250</v>
      </c>
      <c r="Y161" s="194">
        <v>280</v>
      </c>
      <c r="Z161" s="194">
        <v>300</v>
      </c>
      <c r="AA161" s="194">
        <v>330</v>
      </c>
      <c r="AB161" s="194">
        <v>330</v>
      </c>
      <c r="AC161" s="328"/>
      <c r="AD161" s="328"/>
      <c r="AE161" s="328"/>
      <c r="AF161" s="328"/>
      <c r="AG161" s="328"/>
      <c r="AH161" s="328"/>
      <c r="AI161" s="328"/>
      <c r="AJ161" s="328"/>
      <c r="AK161" s="328"/>
      <c r="AL161" s="387" t="str">
        <f t="shared" si="83"/>
        <v/>
      </c>
      <c r="AM161" s="214"/>
      <c r="AN161" s="208" t="s">
        <v>88</v>
      </c>
      <c r="AO161" s="214"/>
      <c r="AP161" s="194"/>
      <c r="AQ161" s="194"/>
      <c r="AR161" s="208" t="s">
        <v>88</v>
      </c>
      <c r="AS161" s="194"/>
      <c r="AT161" s="194"/>
      <c r="AU161" s="194"/>
      <c r="AV161" s="208" t="s">
        <v>88</v>
      </c>
      <c r="AW161" s="194"/>
      <c r="AX161" s="194"/>
      <c r="AY161" s="194"/>
      <c r="AZ161" s="208" t="s">
        <v>88</v>
      </c>
      <c r="BA161" s="194"/>
      <c r="BB161" s="194"/>
      <c r="BC161" s="194"/>
      <c r="BD161" s="208" t="s">
        <v>88</v>
      </c>
      <c r="BE161" s="194"/>
      <c r="BF161" s="194"/>
      <c r="BG161" s="194"/>
      <c r="BH161" s="208" t="s">
        <v>88</v>
      </c>
      <c r="BI161" s="194"/>
      <c r="BJ161" s="194"/>
      <c r="BK161" s="194"/>
      <c r="BL161" s="208" t="s">
        <v>88</v>
      </c>
      <c r="BM161" s="194"/>
      <c r="BN161" s="194"/>
      <c r="BO161" s="214"/>
      <c r="BP161" s="208" t="s">
        <v>88</v>
      </c>
      <c r="BQ161" s="214"/>
      <c r="BR161" s="194"/>
      <c r="BS161" s="214"/>
      <c r="BT161" s="208" t="s">
        <v>88</v>
      </c>
      <c r="BU161" s="214"/>
      <c r="BV161" s="194"/>
      <c r="BW161" s="97" t="str">
        <f t="shared" si="90"/>
        <v/>
      </c>
      <c r="BX161" s="310"/>
      <c r="BY161" s="313"/>
      <c r="BZ161" s="194"/>
      <c r="CA161" s="45"/>
      <c r="CB161" s="194"/>
      <c r="CC161" s="45"/>
      <c r="CD161" s="546"/>
      <c r="CE161" s="546"/>
      <c r="CF161" s="313"/>
      <c r="CG161" s="45"/>
      <c r="CH161" s="45"/>
      <c r="CI161" s="97"/>
      <c r="CJ161" s="45"/>
      <c r="CK161" s="546"/>
      <c r="CL161" s="546"/>
      <c r="CM161" s="313"/>
      <c r="CN161" s="45"/>
      <c r="CO161" s="45"/>
      <c r="CP161" s="97"/>
      <c r="CQ161" s="45"/>
      <c r="CR161" s="546"/>
      <c r="CS161" s="546"/>
      <c r="CT161" s="313"/>
      <c r="CU161" s="45"/>
      <c r="CV161" s="45"/>
      <c r="CW161" s="97"/>
      <c r="CX161" s="45"/>
      <c r="CY161" s="546"/>
      <c r="CZ161" s="546"/>
      <c r="DA161" s="313"/>
      <c r="DB161" s="45"/>
      <c r="DC161" s="45"/>
      <c r="DD161" s="97"/>
      <c r="DE161" s="45"/>
      <c r="DF161" s="546"/>
      <c r="DG161" s="546"/>
      <c r="DH161" s="313"/>
      <c r="DI161" s="45"/>
      <c r="DJ161" s="45"/>
      <c r="DK161" s="97"/>
      <c r="DL161" s="45"/>
      <c r="DM161" s="546"/>
      <c r="DN161" s="546"/>
    </row>
    <row r="162" spans="2:118" s="376" customFormat="1" ht="114.75">
      <c r="B162" s="536"/>
      <c r="C162" s="539"/>
      <c r="D162" s="306" t="s">
        <v>1431</v>
      </c>
      <c r="E162" s="432">
        <v>5.7999999999999996E-3</v>
      </c>
      <c r="F162" s="438" t="s">
        <v>90</v>
      </c>
      <c r="G162" s="216" t="s">
        <v>569</v>
      </c>
      <c r="H162" s="316" t="s">
        <v>542</v>
      </c>
      <c r="I162" s="438" t="s">
        <v>186</v>
      </c>
      <c r="J162" s="385" t="s">
        <v>140</v>
      </c>
      <c r="K162" s="361">
        <v>44927</v>
      </c>
      <c r="L162" s="192">
        <v>46022</v>
      </c>
      <c r="M162" s="244" t="s">
        <v>97</v>
      </c>
      <c r="N162" s="315" t="s">
        <v>570</v>
      </c>
      <c r="O162" s="315" t="s">
        <v>1091</v>
      </c>
      <c r="P162" s="315" t="s">
        <v>87</v>
      </c>
      <c r="Q162" s="359">
        <v>0</v>
      </c>
      <c r="R162" s="338">
        <v>2022</v>
      </c>
      <c r="S162" s="338"/>
      <c r="T162" s="372">
        <v>0.3</v>
      </c>
      <c r="U162" s="372">
        <v>0.8</v>
      </c>
      <c r="V162" s="372">
        <v>1</v>
      </c>
      <c r="W162" s="338"/>
      <c r="X162" s="338"/>
      <c r="Y162" s="338"/>
      <c r="Z162" s="338"/>
      <c r="AA162" s="338"/>
      <c r="AB162" s="372">
        <v>1</v>
      </c>
      <c r="AC162" s="334"/>
      <c r="AD162" s="328"/>
      <c r="AE162" s="328"/>
      <c r="AF162" s="328"/>
      <c r="AG162" s="328"/>
      <c r="AH162" s="328"/>
      <c r="AI162" s="328"/>
      <c r="AJ162" s="328"/>
      <c r="AK162" s="328"/>
      <c r="AL162" s="387" t="str">
        <f t="shared" si="83"/>
        <v/>
      </c>
      <c r="AM162" s="190"/>
      <c r="AN162" s="194"/>
      <c r="AO162" s="190"/>
      <c r="AP162" s="194"/>
      <c r="AQ162" s="190"/>
      <c r="AR162" s="373" t="s">
        <v>126</v>
      </c>
      <c r="AS162" s="190"/>
      <c r="AT162" s="194"/>
      <c r="AU162" s="321"/>
      <c r="AV162" s="373" t="s">
        <v>126</v>
      </c>
      <c r="AW162" s="321"/>
      <c r="AX162" s="194"/>
      <c r="AY162" s="214"/>
      <c r="AZ162" s="373" t="s">
        <v>126</v>
      </c>
      <c r="BA162" s="214"/>
      <c r="BB162" s="194"/>
      <c r="BC162" s="214"/>
      <c r="BD162" s="194"/>
      <c r="BE162" s="214"/>
      <c r="BF162" s="194"/>
      <c r="BG162" s="214"/>
      <c r="BH162" s="194"/>
      <c r="BI162" s="214"/>
      <c r="BJ162" s="194"/>
      <c r="BK162" s="214"/>
      <c r="BL162" s="194"/>
      <c r="BM162" s="214"/>
      <c r="BN162" s="194"/>
      <c r="BO162" s="214"/>
      <c r="BP162" s="194"/>
      <c r="BQ162" s="214"/>
      <c r="BR162" s="194"/>
      <c r="BS162" s="214"/>
      <c r="BT162" s="194"/>
      <c r="BU162" s="214"/>
      <c r="BV162" s="194"/>
      <c r="BW162" s="97" t="str">
        <f t="shared" si="90"/>
        <v/>
      </c>
      <c r="BX162" s="384"/>
      <c r="BY162" s="313"/>
      <c r="BZ162" s="45"/>
      <c r="CA162" s="45"/>
      <c r="CB162" s="97"/>
      <c r="CC162" s="45"/>
      <c r="CD162" s="546"/>
      <c r="CE162" s="546"/>
      <c r="CF162" s="313"/>
      <c r="CG162" s="45"/>
      <c r="CH162" s="45"/>
      <c r="CI162" s="97"/>
      <c r="CJ162" s="45"/>
      <c r="CK162" s="546"/>
      <c r="CL162" s="546"/>
      <c r="CM162" s="313"/>
      <c r="CN162" s="45"/>
      <c r="CO162" s="45"/>
      <c r="CP162" s="97"/>
      <c r="CQ162" s="45"/>
      <c r="CR162" s="546"/>
      <c r="CS162" s="546"/>
      <c r="CT162" s="313"/>
      <c r="CU162" s="45"/>
      <c r="CV162" s="45"/>
      <c r="CW162" s="97"/>
      <c r="CX162" s="45"/>
      <c r="CY162" s="546"/>
      <c r="CZ162" s="546"/>
      <c r="DA162" s="313"/>
      <c r="DB162" s="45"/>
      <c r="DC162" s="45"/>
      <c r="DD162" s="97"/>
      <c r="DE162" s="45"/>
      <c r="DF162" s="546"/>
      <c r="DG162" s="546"/>
      <c r="DH162" s="313"/>
      <c r="DI162" s="45"/>
      <c r="DJ162" s="45"/>
      <c r="DK162" s="97"/>
      <c r="DL162" s="45"/>
      <c r="DM162" s="546"/>
      <c r="DN162" s="546"/>
    </row>
    <row r="163" spans="2:118" s="376" customFormat="1" ht="25.5">
      <c r="B163" s="536"/>
      <c r="C163" s="540"/>
      <c r="D163" s="233" t="s">
        <v>1432</v>
      </c>
      <c r="E163" s="432">
        <v>5.7999999999999996E-3</v>
      </c>
      <c r="F163" s="438" t="s">
        <v>90</v>
      </c>
      <c r="G163" s="314" t="s">
        <v>543</v>
      </c>
      <c r="H163" s="316" t="s">
        <v>571</v>
      </c>
      <c r="I163" s="438" t="s">
        <v>557</v>
      </c>
      <c r="J163" s="385" t="s">
        <v>558</v>
      </c>
      <c r="K163" s="361">
        <v>45078</v>
      </c>
      <c r="L163" s="362">
        <v>47848</v>
      </c>
      <c r="M163" s="244" t="s">
        <v>97</v>
      </c>
      <c r="N163" s="315" t="s">
        <v>1093</v>
      </c>
      <c r="O163" s="315" t="s">
        <v>1092</v>
      </c>
      <c r="P163" s="315" t="s">
        <v>125</v>
      </c>
      <c r="Q163" s="316">
        <v>2</v>
      </c>
      <c r="R163" s="471">
        <v>2022</v>
      </c>
      <c r="S163" s="366" t="s">
        <v>81</v>
      </c>
      <c r="T163" s="316">
        <v>2</v>
      </c>
      <c r="U163" s="316">
        <v>2</v>
      </c>
      <c r="V163" s="316">
        <v>2</v>
      </c>
      <c r="W163" s="316">
        <v>2</v>
      </c>
      <c r="X163" s="316">
        <v>2</v>
      </c>
      <c r="Y163" s="316">
        <v>2</v>
      </c>
      <c r="Z163" s="316">
        <v>2</v>
      </c>
      <c r="AA163" s="316">
        <v>2</v>
      </c>
      <c r="AB163" s="316">
        <v>2</v>
      </c>
      <c r="AC163" s="502">
        <v>100</v>
      </c>
      <c r="AD163" s="502">
        <v>120</v>
      </c>
      <c r="AE163" s="502">
        <v>140</v>
      </c>
      <c r="AF163" s="502">
        <v>160</v>
      </c>
      <c r="AG163" s="502">
        <v>180</v>
      </c>
      <c r="AH163" s="502">
        <v>200</v>
      </c>
      <c r="AI163" s="502">
        <v>220</v>
      </c>
      <c r="AJ163" s="502">
        <v>240</v>
      </c>
      <c r="AK163" s="503">
        <v>280</v>
      </c>
      <c r="AL163" s="387">
        <f t="shared" si="83"/>
        <v>1640</v>
      </c>
      <c r="AM163" s="502">
        <v>100</v>
      </c>
      <c r="AN163" s="190" t="s">
        <v>80</v>
      </c>
      <c r="AO163" s="190"/>
      <c r="AP163" s="194"/>
      <c r="AQ163" s="502">
        <v>120</v>
      </c>
      <c r="AR163" s="190" t="s">
        <v>80</v>
      </c>
      <c r="AS163" s="190"/>
      <c r="AT163" s="194"/>
      <c r="AU163" s="502">
        <v>140</v>
      </c>
      <c r="AV163" s="190" t="s">
        <v>80</v>
      </c>
      <c r="AW163" s="190"/>
      <c r="AX163" s="194"/>
      <c r="AY163" s="502">
        <v>160</v>
      </c>
      <c r="AZ163" s="190" t="s">
        <v>80</v>
      </c>
      <c r="BA163" s="190"/>
      <c r="BB163" s="194"/>
      <c r="BC163" s="502">
        <v>180</v>
      </c>
      <c r="BD163" s="190" t="s">
        <v>80</v>
      </c>
      <c r="BE163" s="190"/>
      <c r="BF163" s="194"/>
      <c r="BG163" s="502">
        <v>200</v>
      </c>
      <c r="BH163" s="190" t="s">
        <v>80</v>
      </c>
      <c r="BI163" s="190"/>
      <c r="BJ163" s="194"/>
      <c r="BK163" s="502">
        <v>220</v>
      </c>
      <c r="BL163" s="190" t="s">
        <v>80</v>
      </c>
      <c r="BM163" s="190"/>
      <c r="BN163" s="194"/>
      <c r="BO163" s="502">
        <v>240</v>
      </c>
      <c r="BP163" s="190" t="s">
        <v>80</v>
      </c>
      <c r="BQ163" s="190"/>
      <c r="BR163" s="194"/>
      <c r="BS163" s="503">
        <v>280</v>
      </c>
      <c r="BT163" s="190" t="s">
        <v>80</v>
      </c>
      <c r="BU163" s="190"/>
      <c r="BV163" s="194"/>
      <c r="BW163" s="97">
        <f t="shared" si="90"/>
        <v>1640</v>
      </c>
      <c r="BX163" s="384"/>
      <c r="BY163" s="439"/>
      <c r="BZ163" s="45"/>
      <c r="CA163" s="45"/>
      <c r="CB163" s="97"/>
      <c r="CC163" s="45"/>
      <c r="CF163" s="439"/>
      <c r="CG163" s="45"/>
      <c r="CH163" s="45"/>
      <c r="CI163" s="97"/>
      <c r="CJ163" s="45"/>
      <c r="CM163" s="439"/>
      <c r="CN163" s="45"/>
      <c r="CO163" s="45"/>
      <c r="CP163" s="97"/>
      <c r="CQ163" s="45"/>
      <c r="CT163" s="439"/>
      <c r="CU163" s="45"/>
      <c r="CV163" s="45"/>
      <c r="CW163" s="97"/>
      <c r="CX163" s="45"/>
      <c r="DA163" s="439"/>
      <c r="DB163" s="45"/>
      <c r="DC163" s="45"/>
      <c r="DD163" s="97"/>
      <c r="DE163" s="45"/>
      <c r="DH163" s="439"/>
      <c r="DI163" s="45"/>
      <c r="DJ163" s="45"/>
      <c r="DK163" s="97"/>
      <c r="DL163" s="45"/>
    </row>
    <row r="164" spans="2:118" s="376" customFormat="1" ht="140.25">
      <c r="B164" s="537" t="s">
        <v>978</v>
      </c>
      <c r="C164" s="527">
        <v>0.12</v>
      </c>
      <c r="D164" s="346" t="s">
        <v>1095</v>
      </c>
      <c r="E164" s="401">
        <v>6.0000000000000001E-3</v>
      </c>
      <c r="F164" s="338" t="s">
        <v>90</v>
      </c>
      <c r="G164" s="438" t="s">
        <v>572</v>
      </c>
      <c r="H164" s="438" t="s">
        <v>138</v>
      </c>
      <c r="I164" s="438" t="s">
        <v>186</v>
      </c>
      <c r="J164" s="385" t="s">
        <v>140</v>
      </c>
      <c r="K164" s="361">
        <v>44713</v>
      </c>
      <c r="L164" s="364">
        <v>47118</v>
      </c>
      <c r="M164" s="315" t="s">
        <v>78</v>
      </c>
      <c r="N164" s="315" t="s">
        <v>1096</v>
      </c>
      <c r="O164" s="315" t="s">
        <v>1097</v>
      </c>
      <c r="P164" s="315" t="s">
        <v>87</v>
      </c>
      <c r="Q164" s="203">
        <v>0</v>
      </c>
      <c r="R164" s="471">
        <v>2022</v>
      </c>
      <c r="S164" s="203">
        <v>0.2</v>
      </c>
      <c r="T164" s="203">
        <v>0.4</v>
      </c>
      <c r="U164" s="203">
        <v>0.6</v>
      </c>
      <c r="V164" s="203">
        <v>0.7</v>
      </c>
      <c r="W164" s="203">
        <v>0.8</v>
      </c>
      <c r="X164" s="359">
        <v>0.9</v>
      </c>
      <c r="Y164" s="359">
        <v>1</v>
      </c>
      <c r="Z164" s="321"/>
      <c r="AA164" s="321"/>
      <c r="AB164" s="359">
        <v>1</v>
      </c>
      <c r="AC164" s="328"/>
      <c r="AD164" s="328"/>
      <c r="AE164" s="328"/>
      <c r="AF164" s="328"/>
      <c r="AG164" s="328"/>
      <c r="AH164" s="328"/>
      <c r="AI164" s="328"/>
      <c r="AJ164" s="328"/>
      <c r="AK164" s="328"/>
      <c r="AL164" s="387" t="str">
        <f t="shared" si="83"/>
        <v/>
      </c>
      <c r="AM164" s="190"/>
      <c r="AN164" s="190" t="s">
        <v>88</v>
      </c>
      <c r="AO164" s="194"/>
      <c r="AP164" s="321"/>
      <c r="AQ164" s="190"/>
      <c r="AR164" s="190" t="s">
        <v>88</v>
      </c>
      <c r="AS164" s="194"/>
      <c r="AT164" s="321"/>
      <c r="AU164" s="190"/>
      <c r="AV164" s="190" t="s">
        <v>88</v>
      </c>
      <c r="AW164" s="194"/>
      <c r="AX164" s="321"/>
      <c r="AY164" s="190"/>
      <c r="AZ164" s="190" t="s">
        <v>88</v>
      </c>
      <c r="BA164" s="194"/>
      <c r="BB164" s="321"/>
      <c r="BC164" s="190"/>
      <c r="BD164" s="190" t="s">
        <v>88</v>
      </c>
      <c r="BE164" s="194"/>
      <c r="BF164" s="321"/>
      <c r="BG164" s="190"/>
      <c r="BH164" s="190" t="s">
        <v>88</v>
      </c>
      <c r="BI164" s="194"/>
      <c r="BJ164" s="321"/>
      <c r="BK164" s="190"/>
      <c r="BL164" s="190" t="s">
        <v>88</v>
      </c>
      <c r="BM164" s="194"/>
      <c r="BN164" s="321"/>
      <c r="BO164" s="321"/>
      <c r="BP164" s="321"/>
      <c r="BQ164" s="321"/>
      <c r="BR164" s="321"/>
      <c r="BS164" s="190"/>
      <c r="BT164" s="321"/>
      <c r="BU164" s="190"/>
      <c r="BV164" s="321"/>
      <c r="BW164" s="97" t="str">
        <f t="shared" si="90"/>
        <v/>
      </c>
      <c r="BX164" s="384"/>
      <c r="BY164" s="313"/>
      <c r="BZ164" s="45"/>
      <c r="CA164" s="45"/>
      <c r="CB164" s="97"/>
      <c r="CC164" s="45"/>
      <c r="CD164" s="546"/>
      <c r="CE164" s="546"/>
      <c r="CF164" s="313"/>
      <c r="CG164" s="45"/>
      <c r="CH164" s="45"/>
      <c r="CI164" s="97"/>
      <c r="CJ164" s="45"/>
      <c r="CK164" s="546"/>
      <c r="CL164" s="546"/>
      <c r="CM164" s="313"/>
      <c r="CN164" s="45"/>
      <c r="CO164" s="45"/>
      <c r="CP164" s="97"/>
      <c r="CQ164" s="45"/>
      <c r="CR164" s="546"/>
      <c r="CS164" s="546"/>
      <c r="CT164" s="313"/>
      <c r="CU164" s="45"/>
      <c r="CV164" s="45"/>
      <c r="CW164" s="97"/>
      <c r="CX164" s="45"/>
      <c r="CY164" s="546"/>
      <c r="CZ164" s="546"/>
      <c r="DA164" s="313"/>
      <c r="DB164" s="45"/>
      <c r="DC164" s="45"/>
      <c r="DD164" s="97"/>
      <c r="DE164" s="45"/>
      <c r="DF164" s="546"/>
      <c r="DG164" s="546"/>
      <c r="DH164" s="313"/>
      <c r="DI164" s="45"/>
      <c r="DJ164" s="45"/>
      <c r="DK164" s="97"/>
      <c r="DL164" s="45"/>
      <c r="DM164" s="546"/>
      <c r="DN164" s="546"/>
    </row>
    <row r="165" spans="2:118" s="376" customFormat="1" ht="51">
      <c r="B165" s="537"/>
      <c r="C165" s="527"/>
      <c r="D165" s="416" t="s">
        <v>1098</v>
      </c>
      <c r="E165" s="401">
        <v>4.0000000000000001E-3</v>
      </c>
      <c r="F165" s="338" t="s">
        <v>90</v>
      </c>
      <c r="G165" s="438" t="s">
        <v>228</v>
      </c>
      <c r="H165" s="438" t="s">
        <v>269</v>
      </c>
      <c r="I165" s="438" t="s">
        <v>573</v>
      </c>
      <c r="J165" s="385" t="s">
        <v>574</v>
      </c>
      <c r="K165" s="361">
        <v>44835</v>
      </c>
      <c r="L165" s="156">
        <v>47848</v>
      </c>
      <c r="M165" s="315" t="s">
        <v>78</v>
      </c>
      <c r="N165" s="315" t="s">
        <v>1099</v>
      </c>
      <c r="O165" s="315" t="s">
        <v>1100</v>
      </c>
      <c r="P165" s="315" t="s">
        <v>87</v>
      </c>
      <c r="Q165" s="194">
        <v>0</v>
      </c>
      <c r="R165" s="338">
        <v>2022</v>
      </c>
      <c r="S165" s="194">
        <v>10</v>
      </c>
      <c r="T165" s="194">
        <v>20</v>
      </c>
      <c r="U165" s="194">
        <v>30</v>
      </c>
      <c r="V165" s="194">
        <v>40</v>
      </c>
      <c r="W165" s="194">
        <v>50</v>
      </c>
      <c r="X165" s="194">
        <v>60</v>
      </c>
      <c r="Y165" s="194">
        <v>70</v>
      </c>
      <c r="Z165" s="194">
        <v>80</v>
      </c>
      <c r="AA165" s="194">
        <v>90</v>
      </c>
      <c r="AB165" s="194">
        <v>90</v>
      </c>
      <c r="AC165" s="328">
        <v>13.6</v>
      </c>
      <c r="AD165" s="328">
        <v>68</v>
      </c>
      <c r="AE165" s="328">
        <v>70.176000000000002</v>
      </c>
      <c r="AF165" s="328">
        <v>72.421632000000002</v>
      </c>
      <c r="AG165" s="328">
        <v>74.739124000000004</v>
      </c>
      <c r="AH165" s="328">
        <v>77.130775999999997</v>
      </c>
      <c r="AI165" s="328">
        <v>79.598961000000003</v>
      </c>
      <c r="AJ165" s="328">
        <v>82.146128000000004</v>
      </c>
      <c r="AK165" s="328">
        <v>84.774804000000003</v>
      </c>
      <c r="AL165" s="387">
        <f t="shared" si="83"/>
        <v>622.58742500000005</v>
      </c>
      <c r="AM165" s="284">
        <f>+AC165</f>
        <v>13.6</v>
      </c>
      <c r="AN165" s="420" t="s">
        <v>189</v>
      </c>
      <c r="AO165" s="284"/>
      <c r="AP165" s="420"/>
      <c r="AQ165" s="284">
        <f>+AD165</f>
        <v>68</v>
      </c>
      <c r="AR165" s="420" t="s">
        <v>189</v>
      </c>
      <c r="AS165" s="284"/>
      <c r="AT165" s="420"/>
      <c r="AU165" s="284">
        <f>+AE165</f>
        <v>70.176000000000002</v>
      </c>
      <c r="AV165" s="420" t="s">
        <v>189</v>
      </c>
      <c r="AW165" s="284"/>
      <c r="AX165" s="420"/>
      <c r="AY165" s="284">
        <f>+AF165</f>
        <v>72.421632000000002</v>
      </c>
      <c r="AZ165" s="420" t="s">
        <v>189</v>
      </c>
      <c r="BA165" s="284"/>
      <c r="BB165" s="420"/>
      <c r="BC165" s="284">
        <f>+AG165</f>
        <v>74.739124000000004</v>
      </c>
      <c r="BD165" s="420" t="s">
        <v>189</v>
      </c>
      <c r="BE165" s="284"/>
      <c r="BF165" s="420"/>
      <c r="BG165" s="284">
        <f>+AH165</f>
        <v>77.130775999999997</v>
      </c>
      <c r="BH165" s="420" t="s">
        <v>189</v>
      </c>
      <c r="BI165" s="284"/>
      <c r="BJ165" s="420"/>
      <c r="BK165" s="284">
        <f>+AI165</f>
        <v>79.598961000000003</v>
      </c>
      <c r="BL165" s="420" t="s">
        <v>189</v>
      </c>
      <c r="BM165" s="284"/>
      <c r="BN165" s="420"/>
      <c r="BO165" s="284">
        <f>+AJ165</f>
        <v>82.146128000000004</v>
      </c>
      <c r="BP165" s="420" t="s">
        <v>189</v>
      </c>
      <c r="BQ165" s="284"/>
      <c r="BR165" s="420"/>
      <c r="BS165" s="284">
        <f>+AK165</f>
        <v>84.774804000000003</v>
      </c>
      <c r="BT165" s="421" t="s">
        <v>189</v>
      </c>
      <c r="BU165" s="190"/>
      <c r="BV165" s="194"/>
      <c r="BW165" s="97">
        <f t="shared" si="90"/>
        <v>622.58742500000005</v>
      </c>
      <c r="BX165" s="384"/>
      <c r="BY165" s="313"/>
      <c r="BZ165" s="45"/>
      <c r="CA165" s="45"/>
      <c r="CB165" s="97"/>
      <c r="CC165" s="45"/>
      <c r="CD165" s="546"/>
      <c r="CE165" s="546"/>
      <c r="CF165" s="313"/>
      <c r="CG165" s="45"/>
      <c r="CH165" s="45"/>
      <c r="CI165" s="97"/>
      <c r="CJ165" s="45"/>
      <c r="CK165" s="546"/>
      <c r="CL165" s="546"/>
      <c r="CM165" s="313"/>
      <c r="CN165" s="45"/>
      <c r="CO165" s="45"/>
      <c r="CP165" s="97"/>
      <c r="CQ165" s="45"/>
      <c r="CR165" s="546"/>
      <c r="CS165" s="546"/>
      <c r="CT165" s="313"/>
      <c r="CU165" s="45"/>
      <c r="CV165" s="45"/>
      <c r="CW165" s="97"/>
      <c r="CX165" s="45"/>
      <c r="CY165" s="546"/>
      <c r="CZ165" s="546"/>
      <c r="DA165" s="313"/>
      <c r="DB165" s="45"/>
      <c r="DC165" s="45"/>
      <c r="DD165" s="97"/>
      <c r="DE165" s="45"/>
      <c r="DF165" s="546"/>
      <c r="DG165" s="546"/>
      <c r="DH165" s="313"/>
      <c r="DI165" s="45"/>
      <c r="DJ165" s="45"/>
      <c r="DK165" s="97"/>
      <c r="DL165" s="45"/>
      <c r="DM165" s="546"/>
      <c r="DN165" s="546"/>
    </row>
    <row r="166" spans="2:118" s="376" customFormat="1" ht="102">
      <c r="B166" s="537"/>
      <c r="C166" s="527"/>
      <c r="D166" s="433" t="s">
        <v>1101</v>
      </c>
      <c r="E166" s="401">
        <v>4.0000000000000001E-3</v>
      </c>
      <c r="F166" s="338" t="s">
        <v>90</v>
      </c>
      <c r="G166" s="438" t="s">
        <v>575</v>
      </c>
      <c r="H166" s="438" t="s">
        <v>576</v>
      </c>
      <c r="I166" s="438" t="s">
        <v>577</v>
      </c>
      <c r="J166" s="385" t="s">
        <v>578</v>
      </c>
      <c r="K166" s="361">
        <v>44713</v>
      </c>
      <c r="L166" s="361">
        <v>47832</v>
      </c>
      <c r="M166" s="315" t="s">
        <v>377</v>
      </c>
      <c r="N166" s="315" t="s">
        <v>1102</v>
      </c>
      <c r="O166" s="315" t="s">
        <v>1278</v>
      </c>
      <c r="P166" s="315" t="s">
        <v>87</v>
      </c>
      <c r="Q166" s="365">
        <v>0</v>
      </c>
      <c r="R166" s="365">
        <v>2022</v>
      </c>
      <c r="S166" s="389">
        <v>0.3</v>
      </c>
      <c r="T166" s="389">
        <v>0.5</v>
      </c>
      <c r="U166" s="389">
        <v>0.56999999999999995</v>
      </c>
      <c r="V166" s="389">
        <v>0.64</v>
      </c>
      <c r="W166" s="389">
        <v>0.71</v>
      </c>
      <c r="X166" s="389">
        <v>0.78</v>
      </c>
      <c r="Y166" s="389">
        <v>0.85</v>
      </c>
      <c r="Z166" s="389">
        <v>0.92</v>
      </c>
      <c r="AA166" s="389">
        <v>1</v>
      </c>
      <c r="AB166" s="389">
        <v>1</v>
      </c>
      <c r="AC166" s="328">
        <v>16</v>
      </c>
      <c r="AD166" s="328">
        <v>16.48</v>
      </c>
      <c r="AE166" s="328">
        <v>16.974</v>
      </c>
      <c r="AF166" s="328">
        <v>17.483632</v>
      </c>
      <c r="AG166" s="328">
        <v>18.008140999999998</v>
      </c>
      <c r="AH166" s="328">
        <v>18.548385</v>
      </c>
      <c r="AI166" s="328">
        <v>19.104837</v>
      </c>
      <c r="AJ166" s="328">
        <v>19.677982</v>
      </c>
      <c r="AK166" s="328">
        <v>20.268321</v>
      </c>
      <c r="AL166" s="387">
        <f t="shared" si="83"/>
        <v>162.545298</v>
      </c>
      <c r="AM166" s="455">
        <v>16</v>
      </c>
      <c r="AN166" s="365" t="s">
        <v>80</v>
      </c>
      <c r="AO166" s="455"/>
      <c r="AP166" s="455"/>
      <c r="AQ166" s="455">
        <v>16.48</v>
      </c>
      <c r="AR166" s="365" t="s">
        <v>80</v>
      </c>
      <c r="AS166" s="455"/>
      <c r="AT166" s="365"/>
      <c r="AU166" s="455">
        <v>16.974</v>
      </c>
      <c r="AV166" s="365" t="s">
        <v>80</v>
      </c>
      <c r="AW166" s="365"/>
      <c r="AX166" s="365"/>
      <c r="AY166" s="455">
        <v>17.483632</v>
      </c>
      <c r="AZ166" s="365" t="s">
        <v>80</v>
      </c>
      <c r="BA166" s="365"/>
      <c r="BB166" s="365"/>
      <c r="BC166" s="455">
        <v>18.008140999999998</v>
      </c>
      <c r="BD166" s="365" t="s">
        <v>80</v>
      </c>
      <c r="BE166" s="365"/>
      <c r="BF166" s="365"/>
      <c r="BG166" s="455">
        <v>18.548385</v>
      </c>
      <c r="BH166" s="365" t="s">
        <v>80</v>
      </c>
      <c r="BI166" s="365"/>
      <c r="BJ166" s="365"/>
      <c r="BK166" s="455">
        <v>19.104837</v>
      </c>
      <c r="BL166" s="365" t="s">
        <v>80</v>
      </c>
      <c r="BM166" s="365"/>
      <c r="BN166" s="365"/>
      <c r="BO166" s="455">
        <v>19.677982</v>
      </c>
      <c r="BP166" s="365" t="s">
        <v>80</v>
      </c>
      <c r="BQ166" s="365"/>
      <c r="BR166" s="365"/>
      <c r="BS166" s="455">
        <v>20.268321</v>
      </c>
      <c r="BT166" s="365" t="s">
        <v>80</v>
      </c>
      <c r="BU166" s="455"/>
      <c r="BV166" s="365"/>
      <c r="BW166" s="97">
        <f t="shared" si="90"/>
        <v>162.545298</v>
      </c>
      <c r="BX166" s="384"/>
      <c r="BY166" s="313"/>
      <c r="BZ166" s="45"/>
      <c r="CA166" s="45"/>
      <c r="CB166" s="97"/>
      <c r="CC166" s="45"/>
      <c r="CD166" s="546"/>
      <c r="CE166" s="546"/>
      <c r="CF166" s="313"/>
      <c r="CG166" s="45"/>
      <c r="CH166" s="45"/>
      <c r="CI166" s="97"/>
      <c r="CJ166" s="45"/>
      <c r="CK166" s="546"/>
      <c r="CL166" s="546"/>
      <c r="CM166" s="313"/>
      <c r="CN166" s="45"/>
      <c r="CO166" s="45"/>
      <c r="CP166" s="97"/>
      <c r="CQ166" s="45"/>
      <c r="CR166" s="546"/>
      <c r="CS166" s="546"/>
      <c r="CT166" s="313"/>
      <c r="CU166" s="45"/>
      <c r="CV166" s="45"/>
      <c r="CW166" s="97"/>
      <c r="CX166" s="45"/>
      <c r="CY166" s="546"/>
      <c r="CZ166" s="546"/>
      <c r="DA166" s="313"/>
      <c r="DB166" s="45"/>
      <c r="DC166" s="45"/>
      <c r="DD166" s="97"/>
      <c r="DE166" s="45"/>
      <c r="DF166" s="546"/>
      <c r="DG166" s="546"/>
      <c r="DH166" s="313"/>
      <c r="DI166" s="45"/>
      <c r="DJ166" s="45"/>
      <c r="DK166" s="97"/>
      <c r="DL166" s="45"/>
      <c r="DM166" s="546"/>
      <c r="DN166" s="546"/>
    </row>
    <row r="167" spans="2:118" s="376" customFormat="1" ht="38.25">
      <c r="B167" s="537"/>
      <c r="C167" s="527"/>
      <c r="D167" s="346" t="s">
        <v>579</v>
      </c>
      <c r="E167" s="401">
        <v>6.0000000000000001E-3</v>
      </c>
      <c r="F167" s="338" t="s">
        <v>90</v>
      </c>
      <c r="G167" s="438" t="s">
        <v>575</v>
      </c>
      <c r="H167" s="438" t="s">
        <v>580</v>
      </c>
      <c r="I167" s="438" t="s">
        <v>581</v>
      </c>
      <c r="J167" s="385" t="s">
        <v>582</v>
      </c>
      <c r="K167" s="361">
        <v>44927</v>
      </c>
      <c r="L167" s="156">
        <v>47848</v>
      </c>
      <c r="M167" s="315" t="s">
        <v>97</v>
      </c>
      <c r="N167" s="316" t="s">
        <v>1103</v>
      </c>
      <c r="O167" s="316" t="s">
        <v>1104</v>
      </c>
      <c r="P167" s="315" t="s">
        <v>87</v>
      </c>
      <c r="Q167" s="23">
        <v>8</v>
      </c>
      <c r="R167" s="200">
        <v>2021</v>
      </c>
      <c r="S167" s="23"/>
      <c r="T167" s="23">
        <v>16</v>
      </c>
      <c r="U167" s="23">
        <v>19</v>
      </c>
      <c r="V167" s="23">
        <v>22</v>
      </c>
      <c r="W167" s="23">
        <v>25</v>
      </c>
      <c r="X167" s="23">
        <v>28</v>
      </c>
      <c r="Y167" s="23">
        <v>31</v>
      </c>
      <c r="Z167" s="23">
        <v>34</v>
      </c>
      <c r="AA167" s="23">
        <v>37</v>
      </c>
      <c r="AB167" s="23">
        <v>37</v>
      </c>
      <c r="AC167" s="328"/>
      <c r="AD167" s="328">
        <v>45</v>
      </c>
      <c r="AE167" s="328">
        <v>45</v>
      </c>
      <c r="AF167" s="328">
        <v>45</v>
      </c>
      <c r="AG167" s="328">
        <v>45</v>
      </c>
      <c r="AH167" s="328">
        <v>45</v>
      </c>
      <c r="AI167" s="328">
        <v>45</v>
      </c>
      <c r="AJ167" s="328">
        <v>45</v>
      </c>
      <c r="AK167" s="328">
        <v>45</v>
      </c>
      <c r="AL167" s="387">
        <f t="shared" si="83"/>
        <v>360</v>
      </c>
      <c r="AM167" s="190"/>
      <c r="AN167" s="23"/>
      <c r="AO167" s="190"/>
      <c r="AP167" s="23"/>
      <c r="AQ167" s="190">
        <f>+AD167</f>
        <v>45</v>
      </c>
      <c r="AR167" s="23" t="s">
        <v>583</v>
      </c>
      <c r="AS167" s="190"/>
      <c r="AT167" s="23"/>
      <c r="AU167" s="190">
        <f>+AE167</f>
        <v>45</v>
      </c>
      <c r="AV167" s="23" t="s">
        <v>583</v>
      </c>
      <c r="AW167" s="321"/>
      <c r="AX167" s="23"/>
      <c r="AY167" s="190">
        <f>+AF167</f>
        <v>45</v>
      </c>
      <c r="AZ167" s="23" t="s">
        <v>583</v>
      </c>
      <c r="BA167" s="321"/>
      <c r="BB167" s="23"/>
      <c r="BC167" s="190">
        <f>+AG167</f>
        <v>45</v>
      </c>
      <c r="BD167" s="23" t="s">
        <v>583</v>
      </c>
      <c r="BE167" s="321"/>
      <c r="BF167" s="23"/>
      <c r="BG167" s="190">
        <f>+AH167</f>
        <v>45</v>
      </c>
      <c r="BH167" s="23" t="s">
        <v>583</v>
      </c>
      <c r="BI167" s="321"/>
      <c r="BJ167" s="23"/>
      <c r="BK167" s="190">
        <f>+AI167</f>
        <v>45</v>
      </c>
      <c r="BL167" s="23" t="s">
        <v>583</v>
      </c>
      <c r="BM167" s="321"/>
      <c r="BN167" s="23"/>
      <c r="BO167" s="190">
        <f>+AJ167</f>
        <v>45</v>
      </c>
      <c r="BP167" s="23" t="s">
        <v>583</v>
      </c>
      <c r="BQ167" s="321"/>
      <c r="BR167" s="23"/>
      <c r="BS167" s="190">
        <f>+AK167</f>
        <v>45</v>
      </c>
      <c r="BT167" s="23" t="s">
        <v>583</v>
      </c>
      <c r="BU167" s="190"/>
      <c r="BV167" s="321"/>
      <c r="BW167" s="97">
        <f t="shared" si="90"/>
        <v>360</v>
      </c>
      <c r="BX167" s="384"/>
      <c r="BY167" s="313"/>
      <c r="BZ167" s="45"/>
      <c r="CA167" s="45"/>
      <c r="CB167" s="97"/>
      <c r="CC167" s="45"/>
      <c r="CD167" s="546"/>
      <c r="CE167" s="546"/>
      <c r="CF167" s="313"/>
      <c r="CG167" s="45"/>
      <c r="CH167" s="45"/>
      <c r="CI167" s="97"/>
      <c r="CJ167" s="45"/>
      <c r="CK167" s="546"/>
      <c r="CL167" s="546"/>
      <c r="CM167" s="313"/>
      <c r="CN167" s="45"/>
      <c r="CO167" s="45"/>
      <c r="CP167" s="97"/>
      <c r="CQ167" s="45"/>
      <c r="CR167" s="546"/>
      <c r="CS167" s="546"/>
      <c r="CT167" s="313"/>
      <c r="CU167" s="45"/>
      <c r="CV167" s="45"/>
      <c r="CW167" s="97"/>
      <c r="CX167" s="45"/>
      <c r="CY167" s="546"/>
      <c r="CZ167" s="546"/>
      <c r="DA167" s="313"/>
      <c r="DB167" s="45"/>
      <c r="DC167" s="45"/>
      <c r="DD167" s="97"/>
      <c r="DE167" s="45"/>
      <c r="DF167" s="546"/>
      <c r="DG167" s="546"/>
      <c r="DH167" s="313"/>
      <c r="DI167" s="45"/>
      <c r="DJ167" s="45"/>
      <c r="DK167" s="97"/>
      <c r="DL167" s="45"/>
      <c r="DM167" s="546"/>
      <c r="DN167" s="546"/>
    </row>
    <row r="168" spans="2:118" s="376" customFormat="1" ht="89.25">
      <c r="B168" s="537"/>
      <c r="C168" s="527"/>
      <c r="D168" s="346" t="s">
        <v>584</v>
      </c>
      <c r="E168" s="401">
        <v>5.0000000000000001E-3</v>
      </c>
      <c r="F168" s="338" t="s">
        <v>90</v>
      </c>
      <c r="G168" s="438" t="s">
        <v>575</v>
      </c>
      <c r="H168" s="438" t="s">
        <v>580</v>
      </c>
      <c r="I168" s="438" t="s">
        <v>581</v>
      </c>
      <c r="J168" s="385" t="s">
        <v>582</v>
      </c>
      <c r="K168" s="361">
        <v>44927</v>
      </c>
      <c r="L168" s="192">
        <v>45291</v>
      </c>
      <c r="M168" s="315" t="s">
        <v>97</v>
      </c>
      <c r="N168" s="315" t="s">
        <v>1105</v>
      </c>
      <c r="O168" s="316" t="s">
        <v>1106</v>
      </c>
      <c r="P168" s="315" t="s">
        <v>87</v>
      </c>
      <c r="Q168" s="359">
        <v>0</v>
      </c>
      <c r="R168" s="200">
        <v>2023</v>
      </c>
      <c r="S168" s="45"/>
      <c r="T168" s="45">
        <v>1</v>
      </c>
      <c r="U168" s="23"/>
      <c r="V168" s="23"/>
      <c r="W168" s="23"/>
      <c r="X168" s="23"/>
      <c r="Y168" s="23"/>
      <c r="Z168" s="23"/>
      <c r="AA168" s="23"/>
      <c r="AB168" s="45">
        <v>1</v>
      </c>
      <c r="AC168" s="328"/>
      <c r="AD168" s="328">
        <v>120</v>
      </c>
      <c r="AE168" s="328"/>
      <c r="AF168" s="328"/>
      <c r="AG168" s="328"/>
      <c r="AH168" s="328"/>
      <c r="AI168" s="328"/>
      <c r="AJ168" s="328"/>
      <c r="AK168" s="328"/>
      <c r="AL168" s="387">
        <f t="shared" si="83"/>
        <v>120</v>
      </c>
      <c r="AM168" s="190"/>
      <c r="AN168" s="23"/>
      <c r="AO168" s="190"/>
      <c r="AP168" s="23"/>
      <c r="AQ168" s="190">
        <f>+AD168</f>
        <v>120</v>
      </c>
      <c r="AR168" s="23" t="s">
        <v>583</v>
      </c>
      <c r="AS168" s="190"/>
      <c r="AT168" s="23"/>
      <c r="AU168" s="190"/>
      <c r="AV168" s="23"/>
      <c r="AW168" s="321"/>
      <c r="AX168" s="23"/>
      <c r="AY168" s="190"/>
      <c r="AZ168" s="23"/>
      <c r="BA168" s="321"/>
      <c r="BB168" s="23"/>
      <c r="BC168" s="190"/>
      <c r="BD168" s="23"/>
      <c r="BE168" s="321"/>
      <c r="BF168" s="23"/>
      <c r="BG168" s="190"/>
      <c r="BH168" s="23"/>
      <c r="BI168" s="321"/>
      <c r="BJ168" s="23"/>
      <c r="BK168" s="190"/>
      <c r="BL168" s="23"/>
      <c r="BM168" s="321"/>
      <c r="BN168" s="23"/>
      <c r="BO168" s="190"/>
      <c r="BP168" s="23"/>
      <c r="BQ168" s="321"/>
      <c r="BR168" s="23"/>
      <c r="BS168" s="190"/>
      <c r="BT168" s="23"/>
      <c r="BU168" s="190"/>
      <c r="BV168" s="321"/>
      <c r="BW168" s="97">
        <f t="shared" si="90"/>
        <v>120</v>
      </c>
      <c r="BX168" s="384"/>
      <c r="BY168" s="313"/>
      <c r="BZ168" s="45"/>
      <c r="CA168" s="45"/>
      <c r="CB168" s="97"/>
      <c r="CC168" s="45"/>
      <c r="CD168" s="546"/>
      <c r="CE168" s="546"/>
      <c r="CF168" s="313"/>
      <c r="CG168" s="45"/>
      <c r="CH168" s="45"/>
      <c r="CI168" s="97"/>
      <c r="CJ168" s="45"/>
      <c r="CK168" s="546"/>
      <c r="CL168" s="546"/>
      <c r="CM168" s="313"/>
      <c r="CN168" s="45"/>
      <c r="CO168" s="45"/>
      <c r="CP168" s="97"/>
      <c r="CQ168" s="45"/>
      <c r="CR168" s="546"/>
      <c r="CS168" s="546"/>
      <c r="CT168" s="313"/>
      <c r="CU168" s="45"/>
      <c r="CV168" s="45"/>
      <c r="CW168" s="97"/>
      <c r="CX168" s="45"/>
      <c r="CY168" s="546"/>
      <c r="CZ168" s="546"/>
      <c r="DA168" s="313"/>
      <c r="DB168" s="45"/>
      <c r="DC168" s="45"/>
      <c r="DD168" s="97"/>
      <c r="DE168" s="45"/>
      <c r="DF168" s="546"/>
      <c r="DG168" s="546"/>
      <c r="DH168" s="313"/>
      <c r="DI168" s="45"/>
      <c r="DJ168" s="45"/>
      <c r="DK168" s="97"/>
      <c r="DL168" s="45"/>
      <c r="DM168" s="546"/>
      <c r="DN168" s="546"/>
    </row>
    <row r="169" spans="2:118" s="376" customFormat="1" ht="51">
      <c r="B169" s="537"/>
      <c r="C169" s="527"/>
      <c r="D169" s="346" t="s">
        <v>586</v>
      </c>
      <c r="E169" s="401">
        <v>5.0000000000000001E-3</v>
      </c>
      <c r="F169" s="338" t="s">
        <v>90</v>
      </c>
      <c r="G169" s="438" t="s">
        <v>587</v>
      </c>
      <c r="H169" s="438" t="s">
        <v>588</v>
      </c>
      <c r="I169" s="438" t="s">
        <v>589</v>
      </c>
      <c r="J169" s="385" t="s">
        <v>590</v>
      </c>
      <c r="K169" s="361">
        <v>44713</v>
      </c>
      <c r="L169" s="361">
        <v>46387</v>
      </c>
      <c r="M169" s="315" t="s">
        <v>78</v>
      </c>
      <c r="N169" s="315" t="s">
        <v>591</v>
      </c>
      <c r="O169" s="315" t="s">
        <v>592</v>
      </c>
      <c r="P169" s="315" t="s">
        <v>125</v>
      </c>
      <c r="Q169" s="203">
        <v>0</v>
      </c>
      <c r="R169" s="471">
        <v>2022</v>
      </c>
      <c r="S169" s="203">
        <v>0.4</v>
      </c>
      <c r="T169" s="203">
        <v>0.4</v>
      </c>
      <c r="U169" s="203">
        <v>0.4</v>
      </c>
      <c r="V169" s="203">
        <v>0.4</v>
      </c>
      <c r="W169" s="203">
        <v>0.4</v>
      </c>
      <c r="X169" s="321"/>
      <c r="Y169" s="321"/>
      <c r="Z169" s="321"/>
      <c r="AA169" s="321"/>
      <c r="AB169" s="203">
        <v>0.4</v>
      </c>
      <c r="AC169" s="328"/>
      <c r="AD169" s="328"/>
      <c r="AE169" s="328"/>
      <c r="AF169" s="328"/>
      <c r="AG169" s="328"/>
      <c r="AH169" s="328"/>
      <c r="AI169" s="328"/>
      <c r="AJ169" s="328"/>
      <c r="AK169" s="328"/>
      <c r="AL169" s="387" t="str">
        <f t="shared" si="83"/>
        <v/>
      </c>
      <c r="AM169" s="190"/>
      <c r="AN169" s="194" t="s">
        <v>956</v>
      </c>
      <c r="AO169" s="190"/>
      <c r="AP169" s="194"/>
      <c r="AQ169" s="190"/>
      <c r="AR169" s="194" t="s">
        <v>956</v>
      </c>
      <c r="AS169" s="190"/>
      <c r="AT169" s="194"/>
      <c r="AU169" s="190"/>
      <c r="AV169" s="194" t="s">
        <v>956</v>
      </c>
      <c r="AW169" s="190"/>
      <c r="AX169" s="194"/>
      <c r="AY169" s="190"/>
      <c r="AZ169" s="194" t="s">
        <v>956</v>
      </c>
      <c r="BA169" s="190"/>
      <c r="BB169" s="194"/>
      <c r="BC169" s="190"/>
      <c r="BD169" s="194" t="s">
        <v>956</v>
      </c>
      <c r="BE169" s="190"/>
      <c r="BF169" s="194"/>
      <c r="BG169" s="321"/>
      <c r="BH169" s="194"/>
      <c r="BI169" s="321"/>
      <c r="BJ169" s="194"/>
      <c r="BK169" s="321"/>
      <c r="BL169" s="194"/>
      <c r="BM169" s="321"/>
      <c r="BN169" s="194"/>
      <c r="BO169" s="321"/>
      <c r="BP169" s="194"/>
      <c r="BQ169" s="321"/>
      <c r="BR169" s="194"/>
      <c r="BS169" s="190"/>
      <c r="BT169" s="194"/>
      <c r="BU169" s="190"/>
      <c r="BV169" s="194"/>
      <c r="BW169" s="97" t="str">
        <f t="shared" si="90"/>
        <v/>
      </c>
      <c r="BX169" s="384"/>
      <c r="BY169" s="313"/>
      <c r="BZ169" s="45"/>
      <c r="CA169" s="45"/>
      <c r="CB169" s="97"/>
      <c r="CC169" s="45"/>
      <c r="CD169" s="546"/>
      <c r="CE169" s="546"/>
      <c r="CF169" s="313"/>
      <c r="CG169" s="45"/>
      <c r="CH169" s="45"/>
      <c r="CI169" s="97"/>
      <c r="CJ169" s="45"/>
      <c r="CK169" s="546"/>
      <c r="CL169" s="546"/>
      <c r="CM169" s="313"/>
      <c r="CN169" s="45"/>
      <c r="CO169" s="45"/>
      <c r="CP169" s="97"/>
      <c r="CQ169" s="45"/>
      <c r="CR169" s="546"/>
      <c r="CS169" s="546"/>
      <c r="CT169" s="313"/>
      <c r="CU169" s="45"/>
      <c r="CV169" s="45"/>
      <c r="CW169" s="97"/>
      <c r="CX169" s="45"/>
      <c r="CY169" s="546"/>
      <c r="CZ169" s="546"/>
      <c r="DA169" s="313"/>
      <c r="DB169" s="45"/>
      <c r="DC169" s="45"/>
      <c r="DD169" s="97"/>
      <c r="DE169" s="45"/>
      <c r="DF169" s="546"/>
      <c r="DG169" s="546"/>
      <c r="DH169" s="313"/>
      <c r="DI169" s="45"/>
      <c r="DJ169" s="45"/>
      <c r="DK169" s="97"/>
      <c r="DL169" s="45"/>
      <c r="DM169" s="546"/>
      <c r="DN169" s="546"/>
    </row>
    <row r="170" spans="2:118" s="376" customFormat="1" ht="38.25">
      <c r="B170" s="537"/>
      <c r="C170" s="527"/>
      <c r="D170" s="377" t="s">
        <v>593</v>
      </c>
      <c r="E170" s="401">
        <v>4.0000000000000001E-3</v>
      </c>
      <c r="F170" s="338" t="s">
        <v>90</v>
      </c>
      <c r="G170" s="316" t="s">
        <v>594</v>
      </c>
      <c r="H170" s="316" t="s">
        <v>1107</v>
      </c>
      <c r="I170" s="316" t="s">
        <v>595</v>
      </c>
      <c r="J170" s="385" t="s">
        <v>596</v>
      </c>
      <c r="K170" s="362">
        <v>44713</v>
      </c>
      <c r="L170" s="156">
        <v>47848</v>
      </c>
      <c r="M170" s="316" t="s">
        <v>377</v>
      </c>
      <c r="N170" s="316" t="s">
        <v>597</v>
      </c>
      <c r="O170" s="316" t="s">
        <v>598</v>
      </c>
      <c r="P170" s="316" t="s">
        <v>125</v>
      </c>
      <c r="Q170" s="322">
        <v>0.37</v>
      </c>
      <c r="R170" s="338">
        <v>2020</v>
      </c>
      <c r="S170" s="322">
        <v>0.35</v>
      </c>
      <c r="T170" s="322">
        <v>0.35</v>
      </c>
      <c r="U170" s="322">
        <v>0.35</v>
      </c>
      <c r="V170" s="322">
        <v>0.35</v>
      </c>
      <c r="W170" s="322">
        <v>0.35</v>
      </c>
      <c r="X170" s="322">
        <v>0.35</v>
      </c>
      <c r="Y170" s="322">
        <v>0.35</v>
      </c>
      <c r="Z170" s="322">
        <v>0.35</v>
      </c>
      <c r="AA170" s="322">
        <v>0.35</v>
      </c>
      <c r="AB170" s="322">
        <v>0.35</v>
      </c>
      <c r="AC170" s="328">
        <v>7441.3366749999996</v>
      </c>
      <c r="AD170" s="328">
        <v>9770.4</v>
      </c>
      <c r="AE170" s="328">
        <v>9606.8700000000008</v>
      </c>
      <c r="AF170" s="328">
        <v>10087.2135</v>
      </c>
      <c r="AG170" s="328">
        <v>12939.93225</v>
      </c>
      <c r="AH170" s="328">
        <v>13586.928862500001</v>
      </c>
      <c r="AI170" s="328">
        <v>15164.5222693125</v>
      </c>
      <c r="AJ170" s="328">
        <v>15922.7483827781</v>
      </c>
      <c r="AK170" s="328">
        <v>18699.520356847999</v>
      </c>
      <c r="AL170" s="387">
        <f t="shared" si="83"/>
        <v>113219.47229643859</v>
      </c>
      <c r="AM170" s="339">
        <f>+AC170</f>
        <v>7441.3366749999996</v>
      </c>
      <c r="AN170" s="338" t="s">
        <v>80</v>
      </c>
      <c r="AO170" s="339"/>
      <c r="AP170" s="340"/>
      <c r="AQ170" s="339">
        <f>+AD170</f>
        <v>9770.4</v>
      </c>
      <c r="AR170" s="338" t="s">
        <v>80</v>
      </c>
      <c r="AS170" s="339"/>
      <c r="AT170" s="316"/>
      <c r="AU170" s="339">
        <f>+AE170</f>
        <v>9606.8700000000008</v>
      </c>
      <c r="AV170" s="338" t="s">
        <v>80</v>
      </c>
      <c r="AW170" s="339"/>
      <c r="AX170" s="316"/>
      <c r="AY170" s="339">
        <f>+AF170</f>
        <v>10087.2135</v>
      </c>
      <c r="AZ170" s="338" t="s">
        <v>80</v>
      </c>
      <c r="BA170" s="339"/>
      <c r="BB170" s="316"/>
      <c r="BC170" s="339">
        <f>+AG170</f>
        <v>12939.93225</v>
      </c>
      <c r="BD170" s="338" t="s">
        <v>80</v>
      </c>
      <c r="BE170" s="339"/>
      <c r="BF170" s="316"/>
      <c r="BG170" s="339">
        <f>+AH170</f>
        <v>13586.928862500001</v>
      </c>
      <c r="BH170" s="338" t="s">
        <v>80</v>
      </c>
      <c r="BI170" s="339"/>
      <c r="BJ170" s="316"/>
      <c r="BK170" s="339">
        <f>+AI170</f>
        <v>15164.5222693125</v>
      </c>
      <c r="BL170" s="338" t="s">
        <v>80</v>
      </c>
      <c r="BM170" s="339"/>
      <c r="BN170" s="316"/>
      <c r="BO170" s="339">
        <f>+AJ170</f>
        <v>15922.7483827781</v>
      </c>
      <c r="BP170" s="338" t="s">
        <v>80</v>
      </c>
      <c r="BQ170" s="339"/>
      <c r="BR170" s="316"/>
      <c r="BS170" s="289">
        <f>+AK170</f>
        <v>18699.520356847999</v>
      </c>
      <c r="BT170" s="338" t="s">
        <v>80</v>
      </c>
      <c r="BU170" s="338"/>
      <c r="BV170" s="338"/>
      <c r="BW170" s="97">
        <f t="shared" si="90"/>
        <v>113219.47229643859</v>
      </c>
      <c r="BX170" s="384"/>
      <c r="BY170" s="326"/>
      <c r="BZ170" s="325"/>
      <c r="CA170" s="325"/>
      <c r="CB170" s="97"/>
      <c r="CC170" s="325"/>
      <c r="CD170" s="546"/>
      <c r="CE170" s="546"/>
      <c r="CF170" s="326"/>
      <c r="CG170" s="325"/>
      <c r="CH170" s="325"/>
      <c r="CI170" s="97"/>
      <c r="CJ170" s="325"/>
      <c r="CK170" s="546"/>
      <c r="CL170" s="546"/>
      <c r="CM170" s="326"/>
      <c r="CN170" s="325"/>
      <c r="CO170" s="325"/>
      <c r="CP170" s="97"/>
      <c r="CQ170" s="325"/>
      <c r="CR170" s="546"/>
      <c r="CS170" s="546"/>
      <c r="CT170" s="326"/>
      <c r="CU170" s="325"/>
      <c r="CV170" s="325"/>
      <c r="CW170" s="97"/>
      <c r="CX170" s="325"/>
      <c r="CY170" s="546"/>
      <c r="CZ170" s="546"/>
      <c r="DA170" s="326"/>
      <c r="DB170" s="325"/>
      <c r="DC170" s="325"/>
      <c r="DD170" s="97"/>
      <c r="DE170" s="325"/>
      <c r="DF170" s="546"/>
      <c r="DG170" s="546"/>
      <c r="DH170" s="326"/>
      <c r="DI170" s="325"/>
      <c r="DJ170" s="325"/>
      <c r="DK170" s="97"/>
      <c r="DL170" s="325"/>
      <c r="DM170" s="546"/>
      <c r="DN170" s="546"/>
    </row>
    <row r="171" spans="2:118" s="376" customFormat="1" ht="140.25">
      <c r="B171" s="537"/>
      <c r="C171" s="527"/>
      <c r="D171" s="377" t="s">
        <v>1279</v>
      </c>
      <c r="E171" s="401">
        <v>5.0000000000000001E-3</v>
      </c>
      <c r="F171" s="338" t="s">
        <v>90</v>
      </c>
      <c r="G171" s="316" t="s">
        <v>137</v>
      </c>
      <c r="H171" s="316" t="s">
        <v>138</v>
      </c>
      <c r="I171" s="316" t="s">
        <v>186</v>
      </c>
      <c r="J171" s="385" t="s">
        <v>140</v>
      </c>
      <c r="K171" s="362">
        <v>44713</v>
      </c>
      <c r="L171" s="156">
        <v>47848</v>
      </c>
      <c r="M171" s="316" t="s">
        <v>97</v>
      </c>
      <c r="N171" s="316" t="s">
        <v>1280</v>
      </c>
      <c r="O171" s="316" t="s">
        <v>1281</v>
      </c>
      <c r="P171" s="338" t="s">
        <v>87</v>
      </c>
      <c r="Q171" s="367">
        <v>0</v>
      </c>
      <c r="R171" s="338">
        <v>2022</v>
      </c>
      <c r="S171" s="367">
        <v>0.2</v>
      </c>
      <c r="T171" s="367">
        <v>0.3</v>
      </c>
      <c r="U171" s="367">
        <v>0.4</v>
      </c>
      <c r="V171" s="367">
        <v>0.5</v>
      </c>
      <c r="W171" s="367">
        <v>0.6</v>
      </c>
      <c r="X171" s="367">
        <v>0.7</v>
      </c>
      <c r="Y171" s="367">
        <v>0.8</v>
      </c>
      <c r="Z171" s="367">
        <v>0.9</v>
      </c>
      <c r="AA171" s="367">
        <v>1</v>
      </c>
      <c r="AB171" s="367">
        <v>1</v>
      </c>
      <c r="AC171" s="333">
        <v>146</v>
      </c>
      <c r="AD171" s="333">
        <v>58</v>
      </c>
      <c r="AE171" s="333">
        <v>60</v>
      </c>
      <c r="AF171" s="333">
        <v>62</v>
      </c>
      <c r="AG171" s="333">
        <v>64</v>
      </c>
      <c r="AH171" s="333">
        <v>66</v>
      </c>
      <c r="AI171" s="333">
        <v>68</v>
      </c>
      <c r="AJ171" s="333">
        <v>70</v>
      </c>
      <c r="AK171" s="333">
        <v>72</v>
      </c>
      <c r="AL171" s="387">
        <f t="shared" si="83"/>
        <v>666</v>
      </c>
      <c r="AM171" s="461">
        <v>146</v>
      </c>
      <c r="AN171" s="316" t="s">
        <v>80</v>
      </c>
      <c r="AO171" s="461"/>
      <c r="AP171" s="316"/>
      <c r="AQ171" s="333">
        <v>58</v>
      </c>
      <c r="AR171" s="316" t="s">
        <v>80</v>
      </c>
      <c r="AS171" s="316"/>
      <c r="AT171" s="316"/>
      <c r="AU171" s="333">
        <v>60</v>
      </c>
      <c r="AV171" s="316" t="s">
        <v>80</v>
      </c>
      <c r="AW171" s="316"/>
      <c r="AX171" s="316"/>
      <c r="AY171" s="333">
        <v>62</v>
      </c>
      <c r="AZ171" s="316" t="s">
        <v>80</v>
      </c>
      <c r="BA171" s="338"/>
      <c r="BB171" s="338"/>
      <c r="BC171" s="333">
        <v>64</v>
      </c>
      <c r="BD171" s="316" t="s">
        <v>80</v>
      </c>
      <c r="BE171" s="338"/>
      <c r="BF171" s="338"/>
      <c r="BG171" s="333">
        <v>66</v>
      </c>
      <c r="BH171" s="316" t="s">
        <v>80</v>
      </c>
      <c r="BI171" s="338"/>
      <c r="BJ171" s="338"/>
      <c r="BK171" s="333">
        <v>68</v>
      </c>
      <c r="BL171" s="316" t="s">
        <v>80</v>
      </c>
      <c r="BM171" s="338"/>
      <c r="BN171" s="338"/>
      <c r="BO171" s="333">
        <v>70</v>
      </c>
      <c r="BP171" s="316" t="s">
        <v>80</v>
      </c>
      <c r="BQ171" s="338"/>
      <c r="BR171" s="338"/>
      <c r="BS171" s="333">
        <v>72</v>
      </c>
      <c r="BT171" s="316" t="s">
        <v>80</v>
      </c>
      <c r="BU171" s="338"/>
      <c r="BV171" s="338"/>
      <c r="BW171" s="97">
        <f t="shared" si="90"/>
        <v>666</v>
      </c>
      <c r="BX171" s="384"/>
      <c r="BY171" s="313"/>
      <c r="BZ171" s="45"/>
      <c r="CA171" s="45"/>
      <c r="CB171" s="97"/>
      <c r="CC171" s="45"/>
      <c r="CD171" s="546"/>
      <c r="CE171" s="546"/>
      <c r="CF171" s="313"/>
      <c r="CG171" s="45"/>
      <c r="CH171" s="45"/>
      <c r="CI171" s="97"/>
      <c r="CJ171" s="45"/>
      <c r="CK171" s="546"/>
      <c r="CL171" s="546"/>
      <c r="CM171" s="313"/>
      <c r="CN171" s="45"/>
      <c r="CO171" s="45"/>
      <c r="CP171" s="97"/>
      <c r="CQ171" s="45"/>
      <c r="CR171" s="546"/>
      <c r="CS171" s="546"/>
      <c r="CT171" s="313"/>
      <c r="CU171" s="45"/>
      <c r="CV171" s="45"/>
      <c r="CW171" s="97"/>
      <c r="CX171" s="45"/>
      <c r="CY171" s="546"/>
      <c r="CZ171" s="546"/>
      <c r="DA171" s="313"/>
      <c r="DB171" s="45"/>
      <c r="DC171" s="45"/>
      <c r="DD171" s="97"/>
      <c r="DE171" s="45"/>
      <c r="DF171" s="546"/>
      <c r="DG171" s="546"/>
      <c r="DH171" s="313"/>
      <c r="DI171" s="45"/>
      <c r="DJ171" s="45"/>
      <c r="DK171" s="97"/>
      <c r="DL171" s="45"/>
      <c r="DM171" s="546"/>
      <c r="DN171" s="546"/>
    </row>
    <row r="172" spans="2:118" ht="63.75">
      <c r="B172" s="537"/>
      <c r="C172" s="527"/>
      <c r="D172" s="418" t="s">
        <v>957</v>
      </c>
      <c r="E172" s="401">
        <v>4.0000000000000001E-3</v>
      </c>
      <c r="F172" s="338" t="s">
        <v>90</v>
      </c>
      <c r="G172" s="437" t="s">
        <v>587</v>
      </c>
      <c r="H172" s="437" t="s">
        <v>588</v>
      </c>
      <c r="I172" s="437" t="s">
        <v>589</v>
      </c>
      <c r="J172" s="385" t="s">
        <v>590</v>
      </c>
      <c r="K172" s="215">
        <v>44713</v>
      </c>
      <c r="L172" s="215">
        <v>46387</v>
      </c>
      <c r="M172" s="352" t="s">
        <v>78</v>
      </c>
      <c r="N172" s="352" t="s">
        <v>599</v>
      </c>
      <c r="O172" s="352" t="s">
        <v>600</v>
      </c>
      <c r="P172" s="315" t="s">
        <v>125</v>
      </c>
      <c r="Q172" s="325">
        <v>0</v>
      </c>
      <c r="R172" s="244">
        <v>2022</v>
      </c>
      <c r="S172" s="203">
        <v>1</v>
      </c>
      <c r="T172" s="203">
        <v>1</v>
      </c>
      <c r="U172" s="203">
        <v>1</v>
      </c>
      <c r="V172" s="203">
        <v>1</v>
      </c>
      <c r="W172" s="203">
        <v>1</v>
      </c>
      <c r="X172" s="203"/>
      <c r="Y172" s="194"/>
      <c r="Z172" s="194"/>
      <c r="AA172" s="194"/>
      <c r="AB172" s="203">
        <v>1</v>
      </c>
      <c r="AC172" s="328"/>
      <c r="AD172" s="328"/>
      <c r="AE172" s="328"/>
      <c r="AF172" s="328"/>
      <c r="AG172" s="328"/>
      <c r="AH172" s="328"/>
      <c r="AI172" s="328"/>
      <c r="AJ172" s="328"/>
      <c r="AK172" s="328"/>
      <c r="AL172" s="454" t="str">
        <f t="shared" si="83"/>
        <v/>
      </c>
      <c r="AM172" s="194"/>
      <c r="AN172" s="194" t="s">
        <v>88</v>
      </c>
      <c r="AO172" s="194"/>
      <c r="AP172" s="194"/>
      <c r="AQ172" s="194"/>
      <c r="AR172" s="194" t="s">
        <v>88</v>
      </c>
      <c r="AS172" s="194"/>
      <c r="AT172" s="194"/>
      <c r="AU172" s="194"/>
      <c r="AV172" s="194" t="s">
        <v>88</v>
      </c>
      <c r="AW172" s="194"/>
      <c r="AX172" s="194"/>
      <c r="AY172" s="194"/>
      <c r="AZ172" s="194" t="s">
        <v>88</v>
      </c>
      <c r="BA172" s="194"/>
      <c r="BB172" s="194"/>
      <c r="BC172" s="194"/>
      <c r="BD172" s="194" t="s">
        <v>88</v>
      </c>
      <c r="BE172" s="194"/>
      <c r="BF172" s="194"/>
      <c r="BG172" s="321"/>
      <c r="BH172" s="194"/>
      <c r="BI172" s="321"/>
      <c r="BJ172" s="194"/>
      <c r="BK172" s="321"/>
      <c r="BL172" s="194"/>
      <c r="BM172" s="321"/>
      <c r="BN172" s="194"/>
      <c r="BO172" s="321"/>
      <c r="BP172" s="194"/>
      <c r="BQ172" s="321"/>
      <c r="BR172" s="194"/>
      <c r="BS172" s="190"/>
      <c r="BT172" s="194"/>
      <c r="BU172" s="190"/>
      <c r="BV172" s="208"/>
      <c r="BW172" s="97" t="str">
        <f t="shared" si="90"/>
        <v/>
      </c>
      <c r="BX172" s="384"/>
      <c r="BY172" s="110"/>
      <c r="BZ172" s="45"/>
      <c r="CA172" s="45"/>
      <c r="CB172" s="97"/>
      <c r="CC172" s="45"/>
      <c r="CD172" s="546"/>
      <c r="CE172" s="546"/>
      <c r="CF172" s="110"/>
      <c r="CG172" s="45"/>
      <c r="CH172" s="45"/>
      <c r="CI172" s="97"/>
      <c r="CJ172" s="45"/>
      <c r="CK172" s="546"/>
      <c r="CL172" s="546"/>
      <c r="CM172" s="110"/>
      <c r="CN172" s="45"/>
      <c r="CO172" s="45"/>
      <c r="CP172" s="97"/>
      <c r="CQ172" s="45"/>
      <c r="CR172" s="546"/>
      <c r="CS172" s="546"/>
      <c r="CT172" s="110"/>
      <c r="CU172" s="45"/>
      <c r="CV172" s="45"/>
      <c r="CW172" s="97"/>
      <c r="CX172" s="45"/>
      <c r="CY172" s="546"/>
      <c r="CZ172" s="546"/>
      <c r="DA172" s="110"/>
      <c r="DB172" s="45"/>
      <c r="DC172" s="45"/>
      <c r="DD172" s="97"/>
      <c r="DE172" s="45"/>
      <c r="DF172" s="546"/>
      <c r="DG172" s="546"/>
      <c r="DH172" s="110"/>
      <c r="DI172" s="45"/>
      <c r="DJ172" s="45"/>
      <c r="DK172" s="97"/>
      <c r="DL172" s="45"/>
      <c r="DM172" s="546"/>
      <c r="DN172" s="546"/>
    </row>
    <row r="173" spans="2:118" s="376" customFormat="1" ht="51">
      <c r="B173" s="537"/>
      <c r="C173" s="527"/>
      <c r="D173" s="346" t="s">
        <v>958</v>
      </c>
      <c r="E173" s="401">
        <v>4.0000000000000001E-3</v>
      </c>
      <c r="F173" s="338" t="s">
        <v>90</v>
      </c>
      <c r="G173" s="438" t="s">
        <v>575</v>
      </c>
      <c r="H173" s="438" t="s">
        <v>580</v>
      </c>
      <c r="I173" s="438" t="s">
        <v>581</v>
      </c>
      <c r="J173" s="385" t="s">
        <v>582</v>
      </c>
      <c r="K173" s="361">
        <v>44927</v>
      </c>
      <c r="L173" s="156">
        <v>47848</v>
      </c>
      <c r="M173" s="315" t="s">
        <v>97</v>
      </c>
      <c r="N173" s="316" t="s">
        <v>1108</v>
      </c>
      <c r="O173" s="316" t="s">
        <v>1109</v>
      </c>
      <c r="P173" s="315" t="s">
        <v>125</v>
      </c>
      <c r="Q173" s="23">
        <v>6</v>
      </c>
      <c r="R173" s="200">
        <v>2021</v>
      </c>
      <c r="S173" s="23"/>
      <c r="T173" s="23">
        <v>14</v>
      </c>
      <c r="U173" s="23">
        <v>3</v>
      </c>
      <c r="V173" s="23">
        <v>6</v>
      </c>
      <c r="W173" s="23">
        <v>9</v>
      </c>
      <c r="X173" s="23">
        <v>12</v>
      </c>
      <c r="Y173" s="23">
        <v>14</v>
      </c>
      <c r="Z173" s="23">
        <v>14</v>
      </c>
      <c r="AA173" s="23">
        <v>14</v>
      </c>
      <c r="AB173" s="23">
        <v>11</v>
      </c>
      <c r="AC173" s="328"/>
      <c r="AD173" s="328">
        <v>70</v>
      </c>
      <c r="AE173" s="328">
        <v>30</v>
      </c>
      <c r="AF173" s="328">
        <v>30</v>
      </c>
      <c r="AG173" s="328">
        <v>30</v>
      </c>
      <c r="AH173" s="328">
        <v>30</v>
      </c>
      <c r="AI173" s="328">
        <v>20</v>
      </c>
      <c r="AJ173" s="328">
        <v>140</v>
      </c>
      <c r="AK173" s="328">
        <v>140</v>
      </c>
      <c r="AL173" s="387">
        <f t="shared" si="83"/>
        <v>490</v>
      </c>
      <c r="AM173" s="190"/>
      <c r="AN173" s="23"/>
      <c r="AO173" s="190"/>
      <c r="AP173" s="23"/>
      <c r="AQ173" s="190">
        <f>+AD173</f>
        <v>70</v>
      </c>
      <c r="AR173" s="23" t="s">
        <v>80</v>
      </c>
      <c r="AS173" s="190"/>
      <c r="AT173" s="23"/>
      <c r="AU173" s="190">
        <f>+AE173</f>
        <v>30</v>
      </c>
      <c r="AV173" s="23" t="s">
        <v>80</v>
      </c>
      <c r="AW173" s="321"/>
      <c r="AX173" s="23"/>
      <c r="AY173" s="190">
        <f>+AF173</f>
        <v>30</v>
      </c>
      <c r="AZ173" s="23" t="s">
        <v>80</v>
      </c>
      <c r="BA173" s="321"/>
      <c r="BB173" s="23"/>
      <c r="BC173" s="190">
        <f>+AG173</f>
        <v>30</v>
      </c>
      <c r="BD173" s="23" t="s">
        <v>80</v>
      </c>
      <c r="BE173" s="321"/>
      <c r="BF173" s="23"/>
      <c r="BG173" s="190">
        <f>+AH173</f>
        <v>30</v>
      </c>
      <c r="BH173" s="23" t="s">
        <v>80</v>
      </c>
      <c r="BI173" s="321"/>
      <c r="BJ173" s="23"/>
      <c r="BK173" s="190">
        <f>+AI173</f>
        <v>20</v>
      </c>
      <c r="BL173" s="23" t="s">
        <v>80</v>
      </c>
      <c r="BM173" s="321"/>
      <c r="BN173" s="23"/>
      <c r="BO173" s="190">
        <f>+AJ173</f>
        <v>140</v>
      </c>
      <c r="BP173" s="23" t="s">
        <v>80</v>
      </c>
      <c r="BQ173" s="321"/>
      <c r="BR173" s="23"/>
      <c r="BS173" s="190">
        <f>+AK173</f>
        <v>140</v>
      </c>
      <c r="BT173" s="23" t="s">
        <v>80</v>
      </c>
      <c r="BU173" s="190"/>
      <c r="BV173" s="321"/>
      <c r="BW173" s="97">
        <f t="shared" si="90"/>
        <v>490</v>
      </c>
      <c r="BX173" s="384"/>
      <c r="BY173" s="313"/>
      <c r="BZ173" s="45"/>
      <c r="CA173" s="45"/>
      <c r="CB173" s="97"/>
      <c r="CC173" s="45"/>
      <c r="CD173" s="546"/>
      <c r="CE173" s="546"/>
      <c r="CF173" s="313"/>
      <c r="CG173" s="45"/>
      <c r="CH173" s="45"/>
      <c r="CI173" s="97"/>
      <c r="CJ173" s="45"/>
      <c r="CK173" s="546"/>
      <c r="CL173" s="546"/>
      <c r="CM173" s="313"/>
      <c r="CN173" s="45"/>
      <c r="CO173" s="45"/>
      <c r="CP173" s="97"/>
      <c r="CQ173" s="45"/>
      <c r="CR173" s="546"/>
      <c r="CS173" s="546"/>
      <c r="CT173" s="313"/>
      <c r="CU173" s="45"/>
      <c r="CV173" s="45"/>
      <c r="CW173" s="97"/>
      <c r="CX173" s="45"/>
      <c r="CY173" s="546"/>
      <c r="CZ173" s="546"/>
      <c r="DA173" s="313"/>
      <c r="DB173" s="45"/>
      <c r="DC173" s="45"/>
      <c r="DD173" s="97"/>
      <c r="DE173" s="45"/>
      <c r="DF173" s="546"/>
      <c r="DG173" s="546"/>
      <c r="DH173" s="313"/>
      <c r="DI173" s="45"/>
      <c r="DJ173" s="45"/>
      <c r="DK173" s="97"/>
      <c r="DL173" s="45"/>
      <c r="DM173" s="546"/>
      <c r="DN173" s="546"/>
    </row>
    <row r="174" spans="2:118" s="376" customFormat="1" ht="38.25">
      <c r="B174" s="537"/>
      <c r="C174" s="527"/>
      <c r="D174" s="346" t="s">
        <v>959</v>
      </c>
      <c r="E174" s="401">
        <v>4.0000000000000001E-3</v>
      </c>
      <c r="F174" s="338" t="s">
        <v>90</v>
      </c>
      <c r="G174" s="438" t="s">
        <v>575</v>
      </c>
      <c r="H174" s="438" t="s">
        <v>580</v>
      </c>
      <c r="I174" s="438" t="s">
        <v>581</v>
      </c>
      <c r="J174" s="385" t="s">
        <v>582</v>
      </c>
      <c r="K174" s="361">
        <v>44927</v>
      </c>
      <c r="L174" s="156">
        <v>46752</v>
      </c>
      <c r="M174" s="315" t="s">
        <v>78</v>
      </c>
      <c r="N174" s="316" t="s">
        <v>1110</v>
      </c>
      <c r="O174" s="316" t="s">
        <v>1111</v>
      </c>
      <c r="P174" s="315" t="s">
        <v>87</v>
      </c>
      <c r="Q174" s="23">
        <v>0</v>
      </c>
      <c r="R174" s="200">
        <v>2023</v>
      </c>
      <c r="S174" s="23"/>
      <c r="T174" s="23">
        <v>3</v>
      </c>
      <c r="U174" s="23">
        <v>6</v>
      </c>
      <c r="V174" s="23">
        <v>9</v>
      </c>
      <c r="W174" s="23">
        <v>12</v>
      </c>
      <c r="X174" s="23">
        <v>14</v>
      </c>
      <c r="Y174" s="23"/>
      <c r="Z174" s="23"/>
      <c r="AA174" s="23"/>
      <c r="AB174" s="23">
        <v>14</v>
      </c>
      <c r="AC174" s="328"/>
      <c r="AD174" s="328">
        <v>45</v>
      </c>
      <c r="AE174" s="328">
        <v>45</v>
      </c>
      <c r="AF174" s="328">
        <v>45</v>
      </c>
      <c r="AG174" s="328">
        <v>45</v>
      </c>
      <c r="AH174" s="328">
        <v>30</v>
      </c>
      <c r="AI174" s="328"/>
      <c r="AJ174" s="328"/>
      <c r="AK174" s="328"/>
      <c r="AL174" s="387">
        <f t="shared" si="83"/>
        <v>210</v>
      </c>
      <c r="AM174" s="190"/>
      <c r="AN174" s="23"/>
      <c r="AO174" s="190"/>
      <c r="AP174" s="23"/>
      <c r="AQ174" s="190">
        <f>+AD174</f>
        <v>45</v>
      </c>
      <c r="AR174" s="23" t="s">
        <v>583</v>
      </c>
      <c r="AS174" s="190"/>
      <c r="AT174" s="23"/>
      <c r="AU174" s="190">
        <f>+AE174</f>
        <v>45</v>
      </c>
      <c r="AV174" s="23" t="s">
        <v>583</v>
      </c>
      <c r="AW174" s="321"/>
      <c r="AX174" s="23"/>
      <c r="AY174" s="190">
        <f>+AF174</f>
        <v>45</v>
      </c>
      <c r="AZ174" s="23" t="s">
        <v>583</v>
      </c>
      <c r="BA174" s="321"/>
      <c r="BB174" s="23"/>
      <c r="BC174" s="190">
        <f>+AG174</f>
        <v>45</v>
      </c>
      <c r="BD174" s="23" t="s">
        <v>583</v>
      </c>
      <c r="BE174" s="321"/>
      <c r="BF174" s="23"/>
      <c r="BG174" s="190">
        <f>+AH174</f>
        <v>30</v>
      </c>
      <c r="BH174" s="23" t="s">
        <v>583</v>
      </c>
      <c r="BI174" s="321"/>
      <c r="BJ174" s="23"/>
      <c r="BK174" s="190"/>
      <c r="BL174" s="23"/>
      <c r="BM174" s="321"/>
      <c r="BN174" s="23"/>
      <c r="BO174" s="190"/>
      <c r="BP174" s="23"/>
      <c r="BQ174" s="321"/>
      <c r="BR174" s="23"/>
      <c r="BS174" s="190"/>
      <c r="BT174" s="23"/>
      <c r="BU174" s="190"/>
      <c r="BV174" s="321"/>
      <c r="BW174" s="97">
        <f t="shared" si="90"/>
        <v>210</v>
      </c>
      <c r="BX174" s="384"/>
      <c r="BY174" s="313"/>
      <c r="BZ174" s="45"/>
      <c r="CA174" s="45"/>
      <c r="CB174" s="97"/>
      <c r="CC174" s="45"/>
      <c r="CD174" s="546"/>
      <c r="CE174" s="546"/>
      <c r="CF174" s="313"/>
      <c r="CG174" s="45"/>
      <c r="CH174" s="45"/>
      <c r="CI174" s="97"/>
      <c r="CJ174" s="45"/>
      <c r="CK174" s="546"/>
      <c r="CL174" s="546"/>
      <c r="CM174" s="313"/>
      <c r="CN174" s="45"/>
      <c r="CO174" s="45"/>
      <c r="CP174" s="97"/>
      <c r="CQ174" s="45"/>
      <c r="CR174" s="546"/>
      <c r="CS174" s="546"/>
      <c r="CT174" s="313"/>
      <c r="CU174" s="45"/>
      <c r="CV174" s="45"/>
      <c r="CW174" s="97"/>
      <c r="CX174" s="45"/>
      <c r="CY174" s="546"/>
      <c r="CZ174" s="546"/>
      <c r="DA174" s="313"/>
      <c r="DB174" s="45"/>
      <c r="DC174" s="45"/>
      <c r="DD174" s="97"/>
      <c r="DE174" s="45"/>
      <c r="DF174" s="546"/>
      <c r="DG174" s="546"/>
      <c r="DH174" s="313"/>
      <c r="DI174" s="45"/>
      <c r="DJ174" s="45"/>
      <c r="DK174" s="97"/>
      <c r="DL174" s="45"/>
      <c r="DM174" s="546"/>
      <c r="DN174" s="546"/>
    </row>
    <row r="175" spans="2:118" s="376" customFormat="1" ht="63.75">
      <c r="B175" s="537"/>
      <c r="C175" s="527"/>
      <c r="D175" s="346" t="s">
        <v>1112</v>
      </c>
      <c r="E175" s="401">
        <v>4.0000000000000001E-3</v>
      </c>
      <c r="F175" s="338" t="s">
        <v>90</v>
      </c>
      <c r="G175" s="438" t="s">
        <v>575</v>
      </c>
      <c r="H175" s="438" t="s">
        <v>580</v>
      </c>
      <c r="I175" s="438" t="s">
        <v>581</v>
      </c>
      <c r="J175" s="385" t="s">
        <v>582</v>
      </c>
      <c r="K175" s="361">
        <v>44927</v>
      </c>
      <c r="L175" s="192">
        <v>45291</v>
      </c>
      <c r="M175" s="315" t="s">
        <v>97</v>
      </c>
      <c r="N175" s="315" t="s">
        <v>1113</v>
      </c>
      <c r="O175" s="316" t="s">
        <v>1114</v>
      </c>
      <c r="P175" s="315" t="s">
        <v>585</v>
      </c>
      <c r="Q175" s="359">
        <v>0</v>
      </c>
      <c r="R175" s="200">
        <v>2023</v>
      </c>
      <c r="S175" s="45"/>
      <c r="T175" s="45">
        <v>1</v>
      </c>
      <c r="U175" s="23"/>
      <c r="V175" s="23"/>
      <c r="W175" s="23"/>
      <c r="X175" s="23"/>
      <c r="Y175" s="23"/>
      <c r="Z175" s="23"/>
      <c r="AA175" s="23"/>
      <c r="AB175" s="45">
        <v>1</v>
      </c>
      <c r="AC175" s="328"/>
      <c r="AD175" s="328">
        <v>120</v>
      </c>
      <c r="AE175" s="328"/>
      <c r="AF175" s="328"/>
      <c r="AG175" s="328"/>
      <c r="AH175" s="328"/>
      <c r="AI175" s="328"/>
      <c r="AJ175" s="328"/>
      <c r="AK175" s="328"/>
      <c r="AL175" s="387">
        <f t="shared" si="83"/>
        <v>120</v>
      </c>
      <c r="AM175" s="190"/>
      <c r="AN175" s="23"/>
      <c r="AO175" s="190"/>
      <c r="AP175" s="23"/>
      <c r="AQ175" s="190">
        <v>120</v>
      </c>
      <c r="AR175" s="23" t="s">
        <v>80</v>
      </c>
      <c r="AS175" s="190"/>
      <c r="AT175" s="23"/>
      <c r="AU175" s="190"/>
      <c r="AV175" s="23"/>
      <c r="AW175" s="321"/>
      <c r="AX175" s="23"/>
      <c r="AY175" s="190"/>
      <c r="AZ175" s="23"/>
      <c r="BA175" s="321"/>
      <c r="BB175" s="23"/>
      <c r="BC175" s="190"/>
      <c r="BD175" s="23"/>
      <c r="BE175" s="321"/>
      <c r="BF175" s="23"/>
      <c r="BG175" s="190"/>
      <c r="BH175" s="23"/>
      <c r="BI175" s="321"/>
      <c r="BJ175" s="23"/>
      <c r="BK175" s="190"/>
      <c r="BL175" s="23"/>
      <c r="BM175" s="321"/>
      <c r="BN175" s="23"/>
      <c r="BO175" s="190"/>
      <c r="BP175" s="23"/>
      <c r="BQ175" s="321"/>
      <c r="BR175" s="23"/>
      <c r="BS175" s="190"/>
      <c r="BT175" s="23"/>
      <c r="BU175" s="190"/>
      <c r="BV175" s="321"/>
      <c r="BW175" s="97">
        <f t="shared" si="90"/>
        <v>120</v>
      </c>
      <c r="BX175" s="384"/>
      <c r="BY175" s="313"/>
      <c r="BZ175" s="45"/>
      <c r="CA175" s="45"/>
      <c r="CB175" s="97"/>
      <c r="CC175" s="45"/>
      <c r="CD175" s="546"/>
      <c r="CE175" s="546"/>
      <c r="CF175" s="313"/>
      <c r="CG175" s="45"/>
      <c r="CH175" s="45"/>
      <c r="CI175" s="97"/>
      <c r="CJ175" s="45"/>
      <c r="CK175" s="546"/>
      <c r="CL175" s="546"/>
      <c r="CM175" s="313"/>
      <c r="CN175" s="45"/>
      <c r="CO175" s="45"/>
      <c r="CP175" s="97"/>
      <c r="CQ175" s="45"/>
      <c r="CR175" s="546"/>
      <c r="CS175" s="546"/>
      <c r="CT175" s="313"/>
      <c r="CU175" s="45"/>
      <c r="CV175" s="45"/>
      <c r="CW175" s="97"/>
      <c r="CX175" s="45"/>
      <c r="CY175" s="546"/>
      <c r="CZ175" s="546"/>
      <c r="DA175" s="313"/>
      <c r="DB175" s="45"/>
      <c r="DC175" s="45"/>
      <c r="DD175" s="97"/>
      <c r="DE175" s="45"/>
      <c r="DF175" s="546"/>
      <c r="DG175" s="546"/>
      <c r="DH175" s="313"/>
      <c r="DI175" s="45"/>
      <c r="DJ175" s="45"/>
      <c r="DK175" s="97"/>
      <c r="DL175" s="45"/>
      <c r="DM175" s="546"/>
      <c r="DN175" s="546"/>
    </row>
    <row r="176" spans="2:118" s="376" customFormat="1" ht="140.25">
      <c r="B176" s="537"/>
      <c r="C176" s="527"/>
      <c r="D176" s="377" t="s">
        <v>1282</v>
      </c>
      <c r="E176" s="401">
        <v>4.0000000000000001E-3</v>
      </c>
      <c r="F176" s="338" t="s">
        <v>90</v>
      </c>
      <c r="G176" s="316" t="s">
        <v>137</v>
      </c>
      <c r="H176" s="316" t="s">
        <v>138</v>
      </c>
      <c r="I176" s="316" t="s">
        <v>139</v>
      </c>
      <c r="J176" s="385" t="s">
        <v>140</v>
      </c>
      <c r="K176" s="362">
        <v>44713</v>
      </c>
      <c r="L176" s="156">
        <v>47848</v>
      </c>
      <c r="M176" s="316" t="s">
        <v>97</v>
      </c>
      <c r="N176" s="316" t="s">
        <v>1283</v>
      </c>
      <c r="O176" s="316" t="s">
        <v>1284</v>
      </c>
      <c r="P176" s="338" t="s">
        <v>87</v>
      </c>
      <c r="Q176" s="367">
        <v>0</v>
      </c>
      <c r="R176" s="338">
        <v>2022</v>
      </c>
      <c r="S176" s="367">
        <v>0.2</v>
      </c>
      <c r="T176" s="367">
        <v>0.3</v>
      </c>
      <c r="U176" s="367">
        <v>0.4</v>
      </c>
      <c r="V176" s="367">
        <v>0.5</v>
      </c>
      <c r="W176" s="367">
        <v>0.6</v>
      </c>
      <c r="X176" s="367">
        <v>0.7</v>
      </c>
      <c r="Y176" s="367">
        <v>0.8</v>
      </c>
      <c r="Z176" s="367">
        <v>0.9</v>
      </c>
      <c r="AA176" s="367">
        <v>1</v>
      </c>
      <c r="AB176" s="367">
        <v>1</v>
      </c>
      <c r="AC176" s="333">
        <v>146</v>
      </c>
      <c r="AD176" s="333">
        <v>58</v>
      </c>
      <c r="AE176" s="333">
        <v>60</v>
      </c>
      <c r="AF176" s="333">
        <v>62</v>
      </c>
      <c r="AG176" s="333">
        <v>64</v>
      </c>
      <c r="AH176" s="333">
        <v>66</v>
      </c>
      <c r="AI176" s="333">
        <v>68</v>
      </c>
      <c r="AJ176" s="333">
        <v>70</v>
      </c>
      <c r="AK176" s="333">
        <v>72</v>
      </c>
      <c r="AL176" s="387">
        <f t="shared" si="83"/>
        <v>666</v>
      </c>
      <c r="AM176" s="461"/>
      <c r="AN176" s="316"/>
      <c r="AO176" s="461"/>
      <c r="AP176" s="316"/>
      <c r="AQ176" s="461"/>
      <c r="AR176" s="316"/>
      <c r="AS176" s="316"/>
      <c r="AT176" s="316"/>
      <c r="AU176" s="461"/>
      <c r="AV176" s="316"/>
      <c r="AW176" s="316"/>
      <c r="AX176" s="316"/>
      <c r="AY176" s="316"/>
      <c r="AZ176" s="316"/>
      <c r="BA176" s="338"/>
      <c r="BB176" s="338"/>
      <c r="BC176" s="341"/>
      <c r="BD176" s="316"/>
      <c r="BE176" s="338"/>
      <c r="BF176" s="338"/>
      <c r="BG176" s="341"/>
      <c r="BH176" s="316"/>
      <c r="BI176" s="338"/>
      <c r="BJ176" s="338"/>
      <c r="BK176" s="341"/>
      <c r="BL176" s="316"/>
      <c r="BM176" s="338"/>
      <c r="BN176" s="338"/>
      <c r="BO176" s="341"/>
      <c r="BP176" s="316"/>
      <c r="BQ176" s="338"/>
      <c r="BR176" s="338"/>
      <c r="BS176" s="341"/>
      <c r="BT176" s="316"/>
      <c r="BU176" s="338"/>
      <c r="BV176" s="338"/>
      <c r="BW176" s="97">
        <v>666</v>
      </c>
      <c r="BX176" s="384"/>
      <c r="BY176" s="313"/>
      <c r="BZ176" s="45"/>
      <c r="CA176" s="45"/>
      <c r="CB176" s="97"/>
      <c r="CC176" s="45"/>
      <c r="CD176" s="546"/>
      <c r="CE176" s="546"/>
      <c r="CF176" s="313"/>
      <c r="CG176" s="45"/>
      <c r="CH176" s="45"/>
      <c r="CI176" s="97"/>
      <c r="CJ176" s="45"/>
      <c r="CK176" s="546"/>
      <c r="CL176" s="546"/>
      <c r="CM176" s="313"/>
      <c r="CN176" s="45"/>
      <c r="CO176" s="45"/>
      <c r="CP176" s="97"/>
      <c r="CQ176" s="45"/>
      <c r="CR176" s="546"/>
      <c r="CS176" s="546"/>
      <c r="CT176" s="313"/>
      <c r="CU176" s="45"/>
      <c r="CV176" s="45"/>
      <c r="CW176" s="97"/>
      <c r="CX176" s="45"/>
      <c r="CY176" s="546"/>
      <c r="CZ176" s="546"/>
      <c r="DA176" s="313"/>
      <c r="DB176" s="45"/>
      <c r="DC176" s="45"/>
      <c r="DD176" s="97"/>
      <c r="DE176" s="45"/>
      <c r="DF176" s="546"/>
      <c r="DG176" s="546"/>
      <c r="DH176" s="313"/>
      <c r="DI176" s="45"/>
      <c r="DJ176" s="45"/>
      <c r="DK176" s="97"/>
      <c r="DL176" s="45"/>
      <c r="DM176" s="546"/>
      <c r="DN176" s="546"/>
    </row>
    <row r="177" spans="2:118" s="376" customFormat="1" ht="76.5">
      <c r="B177" s="537"/>
      <c r="C177" s="527"/>
      <c r="D177" s="377" t="s">
        <v>960</v>
      </c>
      <c r="E177" s="401">
        <v>4.0000000000000001E-3</v>
      </c>
      <c r="F177" s="338" t="s">
        <v>90</v>
      </c>
      <c r="G177" s="316" t="s">
        <v>1115</v>
      </c>
      <c r="H177" s="316" t="s">
        <v>1285</v>
      </c>
      <c r="I177" s="316" t="s">
        <v>1116</v>
      </c>
      <c r="J177" s="385" t="s">
        <v>1117</v>
      </c>
      <c r="K177" s="362">
        <v>44713</v>
      </c>
      <c r="L177" s="362">
        <v>44743</v>
      </c>
      <c r="M177" s="316" t="s">
        <v>78</v>
      </c>
      <c r="N177" s="316" t="s">
        <v>1118</v>
      </c>
      <c r="O177" s="316" t="s">
        <v>1119</v>
      </c>
      <c r="P177" s="316" t="s">
        <v>125</v>
      </c>
      <c r="Q177" s="316">
        <v>0</v>
      </c>
      <c r="R177" s="316">
        <v>2022</v>
      </c>
      <c r="S177" s="472">
        <v>5</v>
      </c>
      <c r="T177" s="367"/>
      <c r="U177" s="367"/>
      <c r="V177" s="367"/>
      <c r="W177" s="367"/>
      <c r="X177" s="367"/>
      <c r="Y177" s="367"/>
      <c r="Z177" s="367"/>
      <c r="AA177" s="367"/>
      <c r="AB177" s="422">
        <v>5</v>
      </c>
      <c r="AC177" s="333"/>
      <c r="AD177" s="333"/>
      <c r="AE177" s="333"/>
      <c r="AF177" s="333"/>
      <c r="AG177" s="333"/>
      <c r="AH177" s="333"/>
      <c r="AI177" s="333"/>
      <c r="AJ177" s="333"/>
      <c r="AK177" s="333"/>
      <c r="AL177" s="387" t="str">
        <f t="shared" si="83"/>
        <v/>
      </c>
      <c r="AM177" s="400"/>
      <c r="AN177" s="194" t="s">
        <v>956</v>
      </c>
      <c r="AO177" s="338"/>
      <c r="AP177" s="194"/>
      <c r="AQ177" s="400"/>
      <c r="AR177" s="194"/>
      <c r="AS177" s="338"/>
      <c r="AT177" s="194"/>
      <c r="AU177" s="400"/>
      <c r="AV177" s="194"/>
      <c r="AW177" s="368"/>
      <c r="AX177" s="194"/>
      <c r="AY177" s="341"/>
      <c r="AZ177" s="194"/>
      <c r="BA177" s="338"/>
      <c r="BB177" s="194"/>
      <c r="BC177" s="341"/>
      <c r="BD177" s="194"/>
      <c r="BE177" s="338"/>
      <c r="BF177" s="194"/>
      <c r="BG177" s="341"/>
      <c r="BH177" s="194"/>
      <c r="BI177" s="338"/>
      <c r="BJ177" s="194"/>
      <c r="BK177" s="341"/>
      <c r="BL177" s="194"/>
      <c r="BM177" s="338"/>
      <c r="BN177" s="194"/>
      <c r="BO177" s="341"/>
      <c r="BP177" s="194"/>
      <c r="BQ177" s="338"/>
      <c r="BR177" s="194"/>
      <c r="BS177" s="341"/>
      <c r="BT177" s="194"/>
      <c r="BU177" s="338"/>
      <c r="BV177" s="194"/>
      <c r="BW177" s="97" t="str">
        <f t="shared" si="90"/>
        <v/>
      </c>
      <c r="BX177" s="384"/>
      <c r="BY177" s="313"/>
      <c r="BZ177" s="45"/>
      <c r="CA177" s="45"/>
      <c r="CB177" s="97"/>
      <c r="CC177" s="45"/>
      <c r="CD177" s="546"/>
      <c r="CE177" s="546"/>
      <c r="CF177" s="313"/>
      <c r="CG177" s="45"/>
      <c r="CH177" s="45"/>
      <c r="CI177" s="97"/>
      <c r="CJ177" s="45"/>
      <c r="CK177" s="546"/>
      <c r="CL177" s="546"/>
      <c r="CM177" s="313"/>
      <c r="CN177" s="45"/>
      <c r="CO177" s="45"/>
      <c r="CP177" s="97"/>
      <c r="CQ177" s="45"/>
      <c r="CR177" s="546"/>
      <c r="CS177" s="546"/>
      <c r="CT177" s="313"/>
      <c r="CU177" s="45"/>
      <c r="CV177" s="45"/>
      <c r="CW177" s="97"/>
      <c r="CX177" s="45"/>
      <c r="CY177" s="546"/>
      <c r="CZ177" s="546"/>
      <c r="DA177" s="313"/>
      <c r="DB177" s="45"/>
      <c r="DC177" s="45"/>
      <c r="DD177" s="97"/>
      <c r="DE177" s="45"/>
      <c r="DF177" s="546"/>
      <c r="DG177" s="546"/>
      <c r="DH177" s="313"/>
      <c r="DI177" s="45"/>
      <c r="DJ177" s="45"/>
      <c r="DK177" s="97"/>
      <c r="DL177" s="45"/>
      <c r="DM177" s="546"/>
      <c r="DN177" s="546"/>
    </row>
    <row r="178" spans="2:118" s="376" customFormat="1" ht="140.25">
      <c r="B178" s="537"/>
      <c r="C178" s="527"/>
      <c r="D178" s="346" t="s">
        <v>1120</v>
      </c>
      <c r="E178" s="401">
        <v>6.0000000000000001E-3</v>
      </c>
      <c r="F178" s="338" t="s">
        <v>90</v>
      </c>
      <c r="G178" s="438" t="s">
        <v>137</v>
      </c>
      <c r="H178" s="438" t="s">
        <v>428</v>
      </c>
      <c r="I178" s="438" t="s">
        <v>139</v>
      </c>
      <c r="J178" s="385" t="s">
        <v>140</v>
      </c>
      <c r="K178" s="361">
        <v>44713</v>
      </c>
      <c r="L178" s="156">
        <v>47848</v>
      </c>
      <c r="M178" s="316" t="s">
        <v>78</v>
      </c>
      <c r="N178" s="315" t="s">
        <v>1121</v>
      </c>
      <c r="O178" s="315" t="s">
        <v>1122</v>
      </c>
      <c r="P178" s="315" t="s">
        <v>87</v>
      </c>
      <c r="Q178" s="359">
        <v>0</v>
      </c>
      <c r="R178" s="338">
        <v>2022</v>
      </c>
      <c r="S178" s="359">
        <v>0.2</v>
      </c>
      <c r="T178" s="359">
        <v>0.3</v>
      </c>
      <c r="U178" s="359">
        <v>0.4</v>
      </c>
      <c r="V178" s="359">
        <v>0.5</v>
      </c>
      <c r="W178" s="359">
        <v>0.6</v>
      </c>
      <c r="X178" s="359">
        <v>0.7</v>
      </c>
      <c r="Y178" s="359">
        <v>0.79999999999999993</v>
      </c>
      <c r="Z178" s="359">
        <v>0.89999999999999991</v>
      </c>
      <c r="AA178" s="359">
        <v>0.99999999999999989</v>
      </c>
      <c r="AB178" s="359">
        <v>1</v>
      </c>
      <c r="AC178" s="328">
        <v>80</v>
      </c>
      <c r="AD178" s="328">
        <v>82</v>
      </c>
      <c r="AE178" s="328">
        <v>84</v>
      </c>
      <c r="AF178" s="328">
        <v>86</v>
      </c>
      <c r="AG178" s="328">
        <v>88</v>
      </c>
      <c r="AH178" s="328">
        <v>90</v>
      </c>
      <c r="AI178" s="328">
        <v>92</v>
      </c>
      <c r="AJ178" s="328">
        <v>94</v>
      </c>
      <c r="AK178" s="328">
        <v>96</v>
      </c>
      <c r="AL178" s="387">
        <f t="shared" si="83"/>
        <v>792</v>
      </c>
      <c r="AM178" s="190">
        <v>80</v>
      </c>
      <c r="AN178" s="423" t="s">
        <v>602</v>
      </c>
      <c r="AO178" s="190"/>
      <c r="AP178" s="194"/>
      <c r="AQ178" s="190">
        <v>82</v>
      </c>
      <c r="AR178" s="423" t="s">
        <v>602</v>
      </c>
      <c r="AS178" s="190"/>
      <c r="AT178" s="194"/>
      <c r="AU178" s="190">
        <v>84</v>
      </c>
      <c r="AV178" s="423" t="s">
        <v>602</v>
      </c>
      <c r="AW178" s="321"/>
      <c r="AX178" s="194"/>
      <c r="AY178" s="321">
        <v>86</v>
      </c>
      <c r="AZ178" s="194" t="s">
        <v>602</v>
      </c>
      <c r="BA178" s="321"/>
      <c r="BB178" s="194"/>
      <c r="BC178" s="321">
        <v>88</v>
      </c>
      <c r="BD178" s="194" t="s">
        <v>602</v>
      </c>
      <c r="BE178" s="321"/>
      <c r="BF178" s="194"/>
      <c r="BG178" s="321">
        <v>90</v>
      </c>
      <c r="BH178" s="194" t="s">
        <v>602</v>
      </c>
      <c r="BI178" s="321"/>
      <c r="BJ178" s="194"/>
      <c r="BK178" s="321">
        <v>92</v>
      </c>
      <c r="BL178" s="194" t="s">
        <v>602</v>
      </c>
      <c r="BM178" s="321"/>
      <c r="BN178" s="194"/>
      <c r="BO178" s="321">
        <v>94</v>
      </c>
      <c r="BP178" s="194" t="s">
        <v>602</v>
      </c>
      <c r="BQ178" s="321"/>
      <c r="BR178" s="194"/>
      <c r="BS178" s="190">
        <v>96</v>
      </c>
      <c r="BT178" s="194" t="s">
        <v>602</v>
      </c>
      <c r="BU178" s="190"/>
      <c r="BV178" s="321"/>
      <c r="BW178" s="97">
        <f t="shared" si="90"/>
        <v>792</v>
      </c>
      <c r="BX178" s="384"/>
      <c r="BY178" s="313"/>
      <c r="BZ178" s="45"/>
      <c r="CA178" s="45"/>
      <c r="CB178" s="97"/>
      <c r="CC178" s="45"/>
      <c r="CD178" s="546"/>
      <c r="CE178" s="546"/>
      <c r="CF178" s="313"/>
      <c r="CG178" s="45"/>
      <c r="CH178" s="45"/>
      <c r="CI178" s="97"/>
      <c r="CJ178" s="45"/>
      <c r="CK178" s="546"/>
      <c r="CL178" s="546"/>
      <c r="CM178" s="313"/>
      <c r="CN178" s="45"/>
      <c r="CO178" s="45"/>
      <c r="CP178" s="97"/>
      <c r="CQ178" s="45"/>
      <c r="CR178" s="546"/>
      <c r="CS178" s="546"/>
      <c r="CT178" s="313"/>
      <c r="CU178" s="45"/>
      <c r="CV178" s="45"/>
      <c r="CW178" s="97"/>
      <c r="CX178" s="45"/>
      <c r="CY178" s="546"/>
      <c r="CZ178" s="546"/>
      <c r="DA178" s="313"/>
      <c r="DB178" s="45"/>
      <c r="DC178" s="45"/>
      <c r="DD178" s="97"/>
      <c r="DE178" s="45"/>
      <c r="DF178" s="546"/>
      <c r="DG178" s="546"/>
      <c r="DH178" s="313"/>
      <c r="DI178" s="45"/>
      <c r="DJ178" s="45"/>
      <c r="DK178" s="97"/>
      <c r="DL178" s="45"/>
      <c r="DM178" s="546"/>
      <c r="DN178" s="546"/>
    </row>
    <row r="179" spans="2:118" s="376" customFormat="1" ht="114.75">
      <c r="B179" s="537"/>
      <c r="C179" s="527"/>
      <c r="D179" s="346" t="s">
        <v>961</v>
      </c>
      <c r="E179" s="401">
        <v>6.0000000000000001E-3</v>
      </c>
      <c r="F179" s="338" t="s">
        <v>90</v>
      </c>
      <c r="G179" s="244" t="s">
        <v>441</v>
      </c>
      <c r="H179" s="438" t="s">
        <v>1123</v>
      </c>
      <c r="I179" s="316" t="s">
        <v>940</v>
      </c>
      <c r="J179" s="385" t="s">
        <v>942</v>
      </c>
      <c r="K179" s="364">
        <v>44927</v>
      </c>
      <c r="L179" s="361">
        <v>46387</v>
      </c>
      <c r="M179" s="315" t="s">
        <v>97</v>
      </c>
      <c r="N179" s="315" t="s">
        <v>603</v>
      </c>
      <c r="O179" s="315" t="s">
        <v>1124</v>
      </c>
      <c r="P179" s="315" t="s">
        <v>87</v>
      </c>
      <c r="Q179" s="359">
        <v>0</v>
      </c>
      <c r="R179" s="244">
        <v>2021</v>
      </c>
      <c r="S179" s="321"/>
      <c r="T179" s="325">
        <v>0.3</v>
      </c>
      <c r="U179" s="325">
        <v>0.5</v>
      </c>
      <c r="V179" s="325">
        <v>0.7</v>
      </c>
      <c r="W179" s="325">
        <v>1</v>
      </c>
      <c r="X179" s="321"/>
      <c r="Y179" s="321"/>
      <c r="Z179" s="321"/>
      <c r="AA179" s="321"/>
      <c r="AB179" s="325">
        <v>1</v>
      </c>
      <c r="AC179" s="328"/>
      <c r="AD179" s="328"/>
      <c r="AE179" s="328"/>
      <c r="AF179" s="328"/>
      <c r="AG179" s="328"/>
      <c r="AH179" s="328"/>
      <c r="AI179" s="328"/>
      <c r="AJ179" s="328"/>
      <c r="AK179" s="328"/>
      <c r="AL179" s="387" t="str">
        <f t="shared" si="83"/>
        <v/>
      </c>
      <c r="AM179" s="190"/>
      <c r="AN179" s="194"/>
      <c r="AO179" s="190"/>
      <c r="AP179" s="194"/>
      <c r="AQ179" s="321"/>
      <c r="AR179" s="194" t="s">
        <v>956</v>
      </c>
      <c r="AS179" s="321"/>
      <c r="AT179" s="194"/>
      <c r="AU179" s="321"/>
      <c r="AV179" s="194" t="s">
        <v>956</v>
      </c>
      <c r="AW179" s="321"/>
      <c r="AX179" s="194"/>
      <c r="AY179" s="321"/>
      <c r="AZ179" s="194" t="s">
        <v>956</v>
      </c>
      <c r="BA179" s="321"/>
      <c r="BB179" s="194"/>
      <c r="BC179" s="321"/>
      <c r="BD179" s="194" t="s">
        <v>956</v>
      </c>
      <c r="BE179" s="321"/>
      <c r="BF179" s="194"/>
      <c r="BG179" s="321"/>
      <c r="BH179" s="194"/>
      <c r="BI179" s="321"/>
      <c r="BJ179" s="194"/>
      <c r="BK179" s="321"/>
      <c r="BL179" s="194"/>
      <c r="BM179" s="321"/>
      <c r="BN179" s="194"/>
      <c r="BO179" s="190"/>
      <c r="BP179" s="194"/>
      <c r="BQ179" s="190"/>
      <c r="BR179" s="194"/>
      <c r="BS179" s="190"/>
      <c r="BT179" s="194"/>
      <c r="BU179" s="190"/>
      <c r="BV179" s="194"/>
      <c r="BW179" s="97" t="str">
        <f t="shared" si="90"/>
        <v/>
      </c>
      <c r="BX179" s="384"/>
      <c r="BY179" s="313"/>
      <c r="BZ179" s="45"/>
      <c r="CA179" s="45"/>
      <c r="CB179" s="97"/>
      <c r="CC179" s="45"/>
      <c r="CD179" s="546"/>
      <c r="CE179" s="546"/>
      <c r="CF179" s="313"/>
      <c r="CG179" s="45"/>
      <c r="CH179" s="45"/>
      <c r="CI179" s="97"/>
      <c r="CJ179" s="45"/>
      <c r="CK179" s="546"/>
      <c r="CL179" s="546"/>
      <c r="CM179" s="313"/>
      <c r="CN179" s="45"/>
      <c r="CO179" s="45"/>
      <c r="CP179" s="97"/>
      <c r="CQ179" s="45"/>
      <c r="CR179" s="546"/>
      <c r="CS179" s="546"/>
      <c r="CT179" s="313"/>
      <c r="CU179" s="45"/>
      <c r="CV179" s="45"/>
      <c r="CW179" s="97"/>
      <c r="CX179" s="45"/>
      <c r="CY179" s="546"/>
      <c r="CZ179" s="546"/>
      <c r="DA179" s="313"/>
      <c r="DB179" s="45"/>
      <c r="DC179" s="45"/>
      <c r="DD179" s="97"/>
      <c r="DE179" s="45"/>
      <c r="DF179" s="546"/>
      <c r="DG179" s="546"/>
      <c r="DH179" s="313"/>
      <c r="DI179" s="45"/>
      <c r="DJ179" s="45"/>
      <c r="DK179" s="97"/>
      <c r="DL179" s="45"/>
      <c r="DM179" s="546"/>
      <c r="DN179" s="546"/>
    </row>
    <row r="180" spans="2:118" s="376" customFormat="1" ht="140.25">
      <c r="B180" s="537"/>
      <c r="C180" s="527"/>
      <c r="D180" s="346" t="s">
        <v>962</v>
      </c>
      <c r="E180" s="401">
        <v>4.0000000000000001E-3</v>
      </c>
      <c r="F180" s="338" t="s">
        <v>90</v>
      </c>
      <c r="G180" s="438" t="s">
        <v>441</v>
      </c>
      <c r="H180" s="438" t="s">
        <v>1123</v>
      </c>
      <c r="I180" s="316" t="s">
        <v>940</v>
      </c>
      <c r="J180" s="385" t="s">
        <v>942</v>
      </c>
      <c r="K180" s="364">
        <v>44774</v>
      </c>
      <c r="L180" s="361">
        <v>46387</v>
      </c>
      <c r="M180" s="315" t="s">
        <v>97</v>
      </c>
      <c r="N180" s="315" t="s">
        <v>604</v>
      </c>
      <c r="O180" s="316" t="s">
        <v>605</v>
      </c>
      <c r="P180" s="315" t="s">
        <v>87</v>
      </c>
      <c r="Q180" s="203">
        <v>0.03</v>
      </c>
      <c r="R180" s="244">
        <v>2021</v>
      </c>
      <c r="S180" s="203">
        <v>0.1</v>
      </c>
      <c r="T180" s="203">
        <v>0.3</v>
      </c>
      <c r="U180" s="203">
        <v>0.5</v>
      </c>
      <c r="V180" s="372">
        <v>0.7</v>
      </c>
      <c r="W180" s="372">
        <v>1</v>
      </c>
      <c r="X180" s="203"/>
      <c r="Y180" s="325"/>
      <c r="Z180" s="325"/>
      <c r="AA180" s="325"/>
      <c r="AB180" s="325">
        <v>1</v>
      </c>
      <c r="AC180" s="328"/>
      <c r="AD180" s="328"/>
      <c r="AE180" s="328"/>
      <c r="AF180" s="328"/>
      <c r="AG180" s="328"/>
      <c r="AH180" s="328"/>
      <c r="AI180" s="328"/>
      <c r="AJ180" s="328"/>
      <c r="AK180" s="328"/>
      <c r="AL180" s="387" t="str">
        <f t="shared" si="83"/>
        <v/>
      </c>
      <c r="AM180" s="190"/>
      <c r="AN180" s="321" t="s">
        <v>655</v>
      </c>
      <c r="AO180" s="190"/>
      <c r="AP180" s="321"/>
      <c r="AQ180" s="190"/>
      <c r="AR180" s="321" t="s">
        <v>655</v>
      </c>
      <c r="AS180" s="190"/>
      <c r="AT180" s="321"/>
      <c r="AU180" s="190"/>
      <c r="AV180" s="321" t="s">
        <v>655</v>
      </c>
      <c r="AW180" s="190"/>
      <c r="AX180" s="321"/>
      <c r="AY180" s="190"/>
      <c r="AZ180" s="321" t="s">
        <v>655</v>
      </c>
      <c r="BA180" s="190"/>
      <c r="BB180" s="321"/>
      <c r="BC180" s="190"/>
      <c r="BD180" s="321" t="s">
        <v>655</v>
      </c>
      <c r="BE180" s="190"/>
      <c r="BF180" s="321"/>
      <c r="BG180" s="321"/>
      <c r="BH180" s="321"/>
      <c r="BI180" s="321"/>
      <c r="BJ180" s="321"/>
      <c r="BK180" s="321"/>
      <c r="BL180" s="321"/>
      <c r="BM180" s="321"/>
      <c r="BN180" s="321"/>
      <c r="BO180" s="190"/>
      <c r="BP180" s="321"/>
      <c r="BQ180" s="190"/>
      <c r="BR180" s="321"/>
      <c r="BS180" s="190"/>
      <c r="BT180" s="321"/>
      <c r="BU180" s="190"/>
      <c r="BV180" s="321"/>
      <c r="BW180" s="97" t="str">
        <f t="shared" si="90"/>
        <v/>
      </c>
      <c r="BX180" s="384"/>
      <c r="BY180" s="313"/>
      <c r="BZ180" s="45"/>
      <c r="CA180" s="45"/>
      <c r="CB180" s="97"/>
      <c r="CC180" s="45"/>
      <c r="CD180" s="546"/>
      <c r="CE180" s="546"/>
      <c r="CF180" s="313"/>
      <c r="CG180" s="45"/>
      <c r="CH180" s="45"/>
      <c r="CI180" s="97"/>
      <c r="CJ180" s="45"/>
      <c r="CK180" s="546"/>
      <c r="CL180" s="546"/>
      <c r="CM180" s="313"/>
      <c r="CN180" s="45"/>
      <c r="CO180" s="45"/>
      <c r="CP180" s="97"/>
      <c r="CQ180" s="45"/>
      <c r="CR180" s="546"/>
      <c r="CS180" s="546"/>
      <c r="CT180" s="313"/>
      <c r="CU180" s="45"/>
      <c r="CV180" s="45"/>
      <c r="CW180" s="97"/>
      <c r="CX180" s="45"/>
      <c r="CY180" s="546"/>
      <c r="CZ180" s="546"/>
      <c r="DA180" s="313"/>
      <c r="DB180" s="45"/>
      <c r="DC180" s="45"/>
      <c r="DD180" s="97"/>
      <c r="DE180" s="45"/>
      <c r="DF180" s="546"/>
      <c r="DG180" s="546"/>
      <c r="DH180" s="313"/>
      <c r="DI180" s="45"/>
      <c r="DJ180" s="45"/>
      <c r="DK180" s="97"/>
      <c r="DL180" s="45"/>
      <c r="DM180" s="546"/>
      <c r="DN180" s="546"/>
    </row>
    <row r="181" spans="2:118" s="376" customFormat="1" ht="165.75">
      <c r="B181" s="537"/>
      <c r="C181" s="527"/>
      <c r="D181" s="346" t="s">
        <v>963</v>
      </c>
      <c r="E181" s="401">
        <v>4.0000000000000001E-3</v>
      </c>
      <c r="F181" s="338" t="s">
        <v>90</v>
      </c>
      <c r="G181" s="244" t="s">
        <v>137</v>
      </c>
      <c r="H181" s="438" t="s">
        <v>138</v>
      </c>
      <c r="I181" s="316" t="s">
        <v>139</v>
      </c>
      <c r="J181" s="385" t="s">
        <v>140</v>
      </c>
      <c r="K181" s="364">
        <v>44713</v>
      </c>
      <c r="L181" s="361">
        <v>46387</v>
      </c>
      <c r="M181" s="315" t="s">
        <v>97</v>
      </c>
      <c r="N181" s="315" t="s">
        <v>606</v>
      </c>
      <c r="O181" s="315" t="s">
        <v>1286</v>
      </c>
      <c r="P181" s="315" t="s">
        <v>87</v>
      </c>
      <c r="Q181" s="325">
        <v>0</v>
      </c>
      <c r="R181" s="244">
        <v>2021</v>
      </c>
      <c r="S181" s="325">
        <v>0.18</v>
      </c>
      <c r="T181" s="325">
        <v>0.41</v>
      </c>
      <c r="U181" s="325">
        <v>0.64</v>
      </c>
      <c r="V181" s="325">
        <v>0.82</v>
      </c>
      <c r="W181" s="325">
        <v>1</v>
      </c>
      <c r="X181" s="321"/>
      <c r="Y181" s="321"/>
      <c r="Z181" s="321"/>
      <c r="AA181" s="321"/>
      <c r="AB181" s="325">
        <v>1</v>
      </c>
      <c r="AC181" s="333">
        <v>23.69</v>
      </c>
      <c r="AD181" s="333">
        <v>24.4</v>
      </c>
      <c r="AE181" s="333">
        <v>25.13</v>
      </c>
      <c r="AF181" s="333">
        <v>100</v>
      </c>
      <c r="AG181" s="333">
        <v>100</v>
      </c>
      <c r="AH181" s="328"/>
      <c r="AI181" s="328"/>
      <c r="AJ181" s="328"/>
      <c r="AK181" s="328"/>
      <c r="AL181" s="387">
        <f t="shared" si="83"/>
        <v>273.22000000000003</v>
      </c>
      <c r="AM181" s="473">
        <f>+AC181</f>
        <v>23.69</v>
      </c>
      <c r="AN181" s="316" t="s">
        <v>155</v>
      </c>
      <c r="AO181" s="190"/>
      <c r="AP181" s="338"/>
      <c r="AQ181" s="333">
        <f>+AE181</f>
        <v>25.13</v>
      </c>
      <c r="AR181" s="333" t="s">
        <v>155</v>
      </c>
      <c r="AS181" s="333"/>
      <c r="AT181" s="333"/>
      <c r="AU181" s="333">
        <f>+AE181</f>
        <v>25.13</v>
      </c>
      <c r="AV181" s="333" t="s">
        <v>155</v>
      </c>
      <c r="AW181" s="333"/>
      <c r="AX181" s="333"/>
      <c r="AY181" s="333">
        <f>+AF181</f>
        <v>100</v>
      </c>
      <c r="AZ181" s="333" t="s">
        <v>155</v>
      </c>
      <c r="BA181" s="333"/>
      <c r="BB181" s="333"/>
      <c r="BC181" s="333">
        <v>100</v>
      </c>
      <c r="BD181" s="333" t="s">
        <v>155</v>
      </c>
      <c r="BE181" s="333"/>
      <c r="BF181" s="333"/>
      <c r="BG181" s="333"/>
      <c r="BH181" s="333"/>
      <c r="BI181" s="321"/>
      <c r="BJ181" s="321"/>
      <c r="BK181" s="321"/>
      <c r="BL181" s="321"/>
      <c r="BM181" s="321"/>
      <c r="BN181" s="321"/>
      <c r="BO181" s="190"/>
      <c r="BP181" s="321"/>
      <c r="BQ181" s="190"/>
      <c r="BR181" s="321"/>
      <c r="BS181" s="190"/>
      <c r="BT181" s="321"/>
      <c r="BU181" s="190"/>
      <c r="BV181" s="321"/>
      <c r="BW181" s="97">
        <f t="shared" si="90"/>
        <v>273.95</v>
      </c>
      <c r="BX181" s="384"/>
      <c r="BY181" s="313"/>
      <c r="BZ181" s="45"/>
      <c r="CA181" s="45"/>
      <c r="CB181" s="97"/>
      <c r="CC181" s="45"/>
      <c r="CD181" s="546"/>
      <c r="CE181" s="546"/>
      <c r="CF181" s="313"/>
      <c r="CG181" s="45"/>
      <c r="CH181" s="45"/>
      <c r="CI181" s="97"/>
      <c r="CJ181" s="45"/>
      <c r="CK181" s="546"/>
      <c r="CL181" s="546"/>
      <c r="CM181" s="313"/>
      <c r="CN181" s="45"/>
      <c r="CO181" s="45"/>
      <c r="CP181" s="97"/>
      <c r="CQ181" s="45"/>
      <c r="CR181" s="546"/>
      <c r="CS181" s="546"/>
      <c r="CT181" s="313"/>
      <c r="CU181" s="45"/>
      <c r="CV181" s="45"/>
      <c r="CW181" s="97"/>
      <c r="CX181" s="45"/>
      <c r="CY181" s="546"/>
      <c r="CZ181" s="546"/>
      <c r="DA181" s="313"/>
      <c r="DB181" s="45"/>
      <c r="DC181" s="45"/>
      <c r="DD181" s="97"/>
      <c r="DE181" s="45"/>
      <c r="DF181" s="546"/>
      <c r="DG181" s="546"/>
      <c r="DH181" s="313"/>
      <c r="DI181" s="45"/>
      <c r="DJ181" s="45"/>
      <c r="DK181" s="97"/>
      <c r="DL181" s="45"/>
      <c r="DM181" s="546"/>
      <c r="DN181" s="546"/>
    </row>
    <row r="182" spans="2:118" s="376" customFormat="1" ht="127.5">
      <c r="B182" s="537"/>
      <c r="C182" s="527"/>
      <c r="D182" s="346" t="s">
        <v>964</v>
      </c>
      <c r="E182" s="401">
        <v>4.0000000000000001E-3</v>
      </c>
      <c r="F182" s="338" t="s">
        <v>90</v>
      </c>
      <c r="G182" s="438" t="s">
        <v>137</v>
      </c>
      <c r="H182" s="438" t="s">
        <v>138</v>
      </c>
      <c r="I182" s="316" t="s">
        <v>139</v>
      </c>
      <c r="J182" s="385" t="s">
        <v>140</v>
      </c>
      <c r="K182" s="364">
        <v>44713</v>
      </c>
      <c r="L182" s="361">
        <v>46387</v>
      </c>
      <c r="M182" s="315" t="s">
        <v>97</v>
      </c>
      <c r="N182" s="316" t="s">
        <v>1125</v>
      </c>
      <c r="O182" s="316" t="s">
        <v>1287</v>
      </c>
      <c r="P182" s="315" t="s">
        <v>87</v>
      </c>
      <c r="Q182" s="359">
        <v>0</v>
      </c>
      <c r="R182" s="244">
        <v>2021</v>
      </c>
      <c r="S182" s="325">
        <v>0.25</v>
      </c>
      <c r="T182" s="203">
        <v>0.5</v>
      </c>
      <c r="U182" s="203">
        <v>0.7</v>
      </c>
      <c r="V182" s="203">
        <v>0.85</v>
      </c>
      <c r="W182" s="203">
        <v>1</v>
      </c>
      <c r="X182" s="203"/>
      <c r="Y182" s="203"/>
      <c r="Z182" s="203"/>
      <c r="AA182" s="203"/>
      <c r="AB182" s="424">
        <v>1</v>
      </c>
      <c r="AC182" s="328">
        <v>46</v>
      </c>
      <c r="AD182" s="328">
        <v>48</v>
      </c>
      <c r="AE182" s="328">
        <v>50</v>
      </c>
      <c r="AF182" s="328">
        <v>52</v>
      </c>
      <c r="AG182" s="328">
        <v>54</v>
      </c>
      <c r="AH182" s="328"/>
      <c r="AI182" s="328"/>
      <c r="AJ182" s="328"/>
      <c r="AK182" s="328"/>
      <c r="AL182" s="387">
        <f t="shared" si="83"/>
        <v>250</v>
      </c>
      <c r="AM182" s="190">
        <v>46</v>
      </c>
      <c r="AN182" s="190" t="s">
        <v>468</v>
      </c>
      <c r="AO182" s="190"/>
      <c r="AP182" s="321"/>
      <c r="AQ182" s="190">
        <v>48</v>
      </c>
      <c r="AR182" s="190" t="s">
        <v>468</v>
      </c>
      <c r="AS182" s="190"/>
      <c r="AT182" s="190"/>
      <c r="AU182" s="190">
        <v>50</v>
      </c>
      <c r="AV182" s="190" t="s">
        <v>468</v>
      </c>
      <c r="AW182" s="190"/>
      <c r="AX182" s="190"/>
      <c r="AY182" s="190">
        <v>52</v>
      </c>
      <c r="AZ182" s="190" t="s">
        <v>468</v>
      </c>
      <c r="BA182" s="190"/>
      <c r="BB182" s="190"/>
      <c r="BC182" s="190">
        <v>54</v>
      </c>
      <c r="BD182" s="365" t="s">
        <v>468</v>
      </c>
      <c r="BE182" s="321"/>
      <c r="BF182" s="321"/>
      <c r="BG182" s="321"/>
      <c r="BH182" s="321"/>
      <c r="BI182" s="321"/>
      <c r="BJ182" s="321"/>
      <c r="BK182" s="321"/>
      <c r="BL182" s="321"/>
      <c r="BM182" s="321"/>
      <c r="BN182" s="321"/>
      <c r="BO182" s="190"/>
      <c r="BP182" s="321"/>
      <c r="BQ182" s="190"/>
      <c r="BR182" s="321"/>
      <c r="BS182" s="190"/>
      <c r="BT182" s="321"/>
      <c r="BU182" s="190"/>
      <c r="BV182" s="321"/>
      <c r="BW182" s="97">
        <f t="shared" si="90"/>
        <v>250</v>
      </c>
      <c r="BX182" s="384"/>
      <c r="BY182" s="313"/>
      <c r="BZ182" s="45"/>
      <c r="CA182" s="45"/>
      <c r="CB182" s="97"/>
      <c r="CC182" s="45"/>
      <c r="CD182" s="546"/>
      <c r="CE182" s="546"/>
      <c r="CF182" s="313"/>
      <c r="CG182" s="45"/>
      <c r="CH182" s="45"/>
      <c r="CI182" s="97"/>
      <c r="CJ182" s="45"/>
      <c r="CK182" s="546"/>
      <c r="CL182" s="546"/>
      <c r="CM182" s="313"/>
      <c r="CN182" s="45"/>
      <c r="CO182" s="45"/>
      <c r="CP182" s="97"/>
      <c r="CQ182" s="45"/>
      <c r="CR182" s="546"/>
      <c r="CS182" s="546"/>
      <c r="CT182" s="313"/>
      <c r="CU182" s="45"/>
      <c r="CV182" s="45"/>
      <c r="CW182" s="97"/>
      <c r="CX182" s="45"/>
      <c r="CY182" s="546"/>
      <c r="CZ182" s="546"/>
      <c r="DA182" s="313"/>
      <c r="DB182" s="45"/>
      <c r="DC182" s="45"/>
      <c r="DD182" s="97"/>
      <c r="DE182" s="45"/>
      <c r="DF182" s="546"/>
      <c r="DG182" s="546"/>
      <c r="DH182" s="313"/>
      <c r="DI182" s="45"/>
      <c r="DJ182" s="45"/>
      <c r="DK182" s="97"/>
      <c r="DL182" s="45"/>
      <c r="DM182" s="546"/>
      <c r="DN182" s="546"/>
    </row>
    <row r="183" spans="2:118" s="376" customFormat="1" ht="63.75">
      <c r="B183" s="537"/>
      <c r="C183" s="527"/>
      <c r="D183" s="346" t="s">
        <v>1288</v>
      </c>
      <c r="E183" s="401">
        <v>4.0000000000000001E-3</v>
      </c>
      <c r="F183" s="338" t="s">
        <v>90</v>
      </c>
      <c r="G183" s="314" t="s">
        <v>562</v>
      </c>
      <c r="H183" s="438" t="s">
        <v>1084</v>
      </c>
      <c r="I183" s="438" t="s">
        <v>563</v>
      </c>
      <c r="J183" s="385" t="s">
        <v>564</v>
      </c>
      <c r="K183" s="361">
        <v>44928</v>
      </c>
      <c r="L183" s="156">
        <v>47848</v>
      </c>
      <c r="M183" s="315" t="s">
        <v>78</v>
      </c>
      <c r="N183" s="315" t="s">
        <v>1126</v>
      </c>
      <c r="O183" s="315" t="s">
        <v>1127</v>
      </c>
      <c r="P183" s="315" t="s">
        <v>87</v>
      </c>
      <c r="Q183" s="23">
        <v>0</v>
      </c>
      <c r="R183" s="200">
        <v>2022</v>
      </c>
      <c r="S183" s="23"/>
      <c r="T183" s="270">
        <v>0.2</v>
      </c>
      <c r="U183" s="270">
        <v>0.3</v>
      </c>
      <c r="V183" s="270">
        <v>0.4</v>
      </c>
      <c r="W183" s="325">
        <v>0.5</v>
      </c>
      <c r="X183" s="325">
        <v>0.6</v>
      </c>
      <c r="Y183" s="325">
        <v>0.7</v>
      </c>
      <c r="Z183" s="325">
        <v>0.8</v>
      </c>
      <c r="AA183" s="325">
        <v>1</v>
      </c>
      <c r="AB183" s="325">
        <v>1</v>
      </c>
      <c r="AC183" s="328"/>
      <c r="AD183" s="328"/>
      <c r="AE183" s="328"/>
      <c r="AF183" s="328"/>
      <c r="AG183" s="328"/>
      <c r="AH183" s="328"/>
      <c r="AI183" s="328"/>
      <c r="AJ183" s="328"/>
      <c r="AK183" s="328"/>
      <c r="AL183" s="387" t="str">
        <f t="shared" si="83"/>
        <v/>
      </c>
      <c r="AM183" s="474"/>
      <c r="AN183" s="194"/>
      <c r="AO183" s="190"/>
      <c r="AP183" s="194"/>
      <c r="AQ183" s="190"/>
      <c r="AR183" s="321" t="s">
        <v>468</v>
      </c>
      <c r="AS183" s="190"/>
      <c r="AT183" s="23"/>
      <c r="AU183" s="190"/>
      <c r="AV183" s="321" t="s">
        <v>468</v>
      </c>
      <c r="AW183" s="321"/>
      <c r="AX183" s="23"/>
      <c r="AY183" s="190"/>
      <c r="AZ183" s="321" t="s">
        <v>468</v>
      </c>
      <c r="BA183" s="321"/>
      <c r="BB183" s="23"/>
      <c r="BC183" s="321"/>
      <c r="BD183" s="321" t="s">
        <v>468</v>
      </c>
      <c r="BE183" s="321"/>
      <c r="BF183" s="23"/>
      <c r="BG183" s="321"/>
      <c r="BH183" s="321" t="s">
        <v>468</v>
      </c>
      <c r="BI183" s="321"/>
      <c r="BJ183" s="23"/>
      <c r="BK183" s="321"/>
      <c r="BL183" s="321" t="s">
        <v>468</v>
      </c>
      <c r="BM183" s="321"/>
      <c r="BN183" s="23"/>
      <c r="BO183" s="321"/>
      <c r="BP183" s="321" t="s">
        <v>468</v>
      </c>
      <c r="BQ183" s="190"/>
      <c r="BR183" s="321"/>
      <c r="BS183" s="190"/>
      <c r="BT183" s="321" t="s">
        <v>468</v>
      </c>
      <c r="BU183" s="190"/>
      <c r="BV183" s="321"/>
      <c r="BW183" s="97" t="str">
        <f t="shared" si="90"/>
        <v/>
      </c>
      <c r="BX183" s="384"/>
      <c r="BY183" s="313"/>
      <c r="BZ183" s="45"/>
      <c r="CA183" s="45"/>
      <c r="CB183" s="97"/>
      <c r="CC183" s="45"/>
      <c r="CD183" s="546"/>
      <c r="CE183" s="546"/>
      <c r="CF183" s="313"/>
      <c r="CG183" s="45"/>
      <c r="CH183" s="45"/>
      <c r="CI183" s="97"/>
      <c r="CJ183" s="45"/>
      <c r="CK183" s="546"/>
      <c r="CL183" s="546"/>
      <c r="CM183" s="313"/>
      <c r="CN183" s="45"/>
      <c r="CO183" s="45"/>
      <c r="CP183" s="97"/>
      <c r="CQ183" s="45"/>
      <c r="CR183" s="546"/>
      <c r="CS183" s="546"/>
      <c r="CT183" s="313"/>
      <c r="CU183" s="45"/>
      <c r="CV183" s="45"/>
      <c r="CW183" s="97"/>
      <c r="CX183" s="45"/>
      <c r="CY183" s="546"/>
      <c r="CZ183" s="546"/>
      <c r="DA183" s="313"/>
      <c r="DB183" s="45"/>
      <c r="DC183" s="45"/>
      <c r="DD183" s="97"/>
      <c r="DE183" s="45"/>
      <c r="DF183" s="546"/>
      <c r="DG183" s="546"/>
      <c r="DH183" s="313"/>
      <c r="DI183" s="45"/>
      <c r="DJ183" s="45"/>
      <c r="DK183" s="97"/>
      <c r="DL183" s="45"/>
      <c r="DM183" s="546"/>
      <c r="DN183" s="546"/>
    </row>
    <row r="184" spans="2:118" s="376" customFormat="1" ht="76.5">
      <c r="B184" s="537"/>
      <c r="C184" s="527"/>
      <c r="D184" s="346" t="s">
        <v>965</v>
      </c>
      <c r="E184" s="401">
        <v>3.5000000000000001E-3</v>
      </c>
      <c r="F184" s="338" t="s">
        <v>90</v>
      </c>
      <c r="G184" s="314" t="s">
        <v>562</v>
      </c>
      <c r="H184" s="438" t="s">
        <v>1084</v>
      </c>
      <c r="I184" s="438" t="s">
        <v>563</v>
      </c>
      <c r="J184" s="385" t="s">
        <v>564</v>
      </c>
      <c r="K184" s="361">
        <v>44713</v>
      </c>
      <c r="L184" s="156">
        <v>46752</v>
      </c>
      <c r="M184" s="315" t="s">
        <v>78</v>
      </c>
      <c r="N184" s="316" t="s">
        <v>1289</v>
      </c>
      <c r="O184" s="316" t="s">
        <v>1290</v>
      </c>
      <c r="P184" s="315" t="s">
        <v>87</v>
      </c>
      <c r="Q184" s="325">
        <v>0</v>
      </c>
      <c r="R184" s="200">
        <v>2022</v>
      </c>
      <c r="S184" s="325">
        <v>0.05</v>
      </c>
      <c r="T184" s="325">
        <v>0.2</v>
      </c>
      <c r="U184" s="325">
        <v>0.4</v>
      </c>
      <c r="V184" s="325">
        <v>0.6</v>
      </c>
      <c r="W184" s="325">
        <v>0.8</v>
      </c>
      <c r="X184" s="325">
        <v>1</v>
      </c>
      <c r="Y184" s="425"/>
      <c r="Z184" s="425"/>
      <c r="AA184" s="425"/>
      <c r="AB184" s="325">
        <v>1</v>
      </c>
      <c r="AC184" s="328"/>
      <c r="AD184" s="328"/>
      <c r="AE184" s="328"/>
      <c r="AF184" s="328"/>
      <c r="AG184" s="328"/>
      <c r="AH184" s="328"/>
      <c r="AI184" s="328"/>
      <c r="AJ184" s="328"/>
      <c r="AK184" s="328"/>
      <c r="AL184" s="387" t="str">
        <f t="shared" si="83"/>
        <v/>
      </c>
      <c r="AM184" s="190"/>
      <c r="AN184" s="23" t="s">
        <v>126</v>
      </c>
      <c r="AO184" s="23"/>
      <c r="AP184" s="23"/>
      <c r="AQ184" s="190"/>
      <c r="AR184" s="23" t="s">
        <v>126</v>
      </c>
      <c r="AS184" s="190"/>
      <c r="AT184" s="23"/>
      <c r="AU184" s="321"/>
      <c r="AV184" s="23" t="s">
        <v>126</v>
      </c>
      <c r="AW184" s="321"/>
      <c r="AX184" s="23"/>
      <c r="AY184" s="321"/>
      <c r="AZ184" s="23" t="s">
        <v>126</v>
      </c>
      <c r="BA184" s="321"/>
      <c r="BB184" s="23"/>
      <c r="BC184" s="321"/>
      <c r="BD184" s="23" t="s">
        <v>126</v>
      </c>
      <c r="BE184" s="321"/>
      <c r="BF184" s="321"/>
      <c r="BG184" s="321"/>
      <c r="BH184" s="23" t="s">
        <v>126</v>
      </c>
      <c r="BI184" s="321"/>
      <c r="BJ184" s="321"/>
      <c r="BK184" s="321"/>
      <c r="BL184" s="23"/>
      <c r="BM184" s="321"/>
      <c r="BN184" s="321"/>
      <c r="BO184" s="190"/>
      <c r="BP184" s="321"/>
      <c r="BQ184" s="190"/>
      <c r="BR184" s="321"/>
      <c r="BS184" s="190"/>
      <c r="BT184" s="321"/>
      <c r="BU184" s="190"/>
      <c r="BV184" s="321"/>
      <c r="BW184" s="97" t="str">
        <f t="shared" si="90"/>
        <v/>
      </c>
      <c r="BX184" s="384"/>
      <c r="BY184" s="313"/>
      <c r="BZ184" s="45"/>
      <c r="CA184" s="45"/>
      <c r="CB184" s="97"/>
      <c r="CC184" s="45"/>
      <c r="CD184" s="546"/>
      <c r="CE184" s="546"/>
      <c r="CF184" s="313"/>
      <c r="CG184" s="45"/>
      <c r="CH184" s="45"/>
      <c r="CI184" s="97"/>
      <c r="CJ184" s="45"/>
      <c r="CK184" s="546"/>
      <c r="CL184" s="546"/>
      <c r="CM184" s="313"/>
      <c r="CN184" s="45"/>
      <c r="CO184" s="45"/>
      <c r="CP184" s="97"/>
      <c r="CQ184" s="45"/>
      <c r="CR184" s="546"/>
      <c r="CS184" s="546"/>
      <c r="CT184" s="313"/>
      <c r="CU184" s="45"/>
      <c r="CV184" s="45"/>
      <c r="CW184" s="97"/>
      <c r="CX184" s="45"/>
      <c r="CY184" s="546"/>
      <c r="CZ184" s="546"/>
      <c r="DA184" s="313"/>
      <c r="DB184" s="45"/>
      <c r="DC184" s="45"/>
      <c r="DD184" s="97"/>
      <c r="DE184" s="45"/>
      <c r="DF184" s="546"/>
      <c r="DG184" s="546"/>
      <c r="DH184" s="313"/>
      <c r="DI184" s="45"/>
      <c r="DJ184" s="45"/>
      <c r="DK184" s="97"/>
      <c r="DL184" s="45"/>
      <c r="DM184" s="546"/>
      <c r="DN184" s="546"/>
    </row>
    <row r="185" spans="2:118" ht="165.75">
      <c r="B185" s="537"/>
      <c r="C185" s="527"/>
      <c r="D185" s="434" t="s">
        <v>1128</v>
      </c>
      <c r="E185" s="401">
        <v>3.5000000000000001E-3</v>
      </c>
      <c r="F185" s="338" t="s">
        <v>90</v>
      </c>
      <c r="G185" s="351" t="s">
        <v>137</v>
      </c>
      <c r="H185" s="437" t="s">
        <v>138</v>
      </c>
      <c r="I185" s="350" t="s">
        <v>139</v>
      </c>
      <c r="J185" s="385" t="s">
        <v>140</v>
      </c>
      <c r="K185" s="349">
        <v>44713</v>
      </c>
      <c r="L185" s="156">
        <v>46752</v>
      </c>
      <c r="M185" s="352" t="s">
        <v>97</v>
      </c>
      <c r="N185" s="352" t="s">
        <v>607</v>
      </c>
      <c r="O185" s="352" t="s">
        <v>1291</v>
      </c>
      <c r="P185" s="352" t="s">
        <v>87</v>
      </c>
      <c r="Q185" s="250">
        <v>0</v>
      </c>
      <c r="R185" s="351">
        <v>2021</v>
      </c>
      <c r="S185" s="250">
        <v>0.2</v>
      </c>
      <c r="T185" s="250">
        <v>0.4</v>
      </c>
      <c r="U185" s="250">
        <v>0.6</v>
      </c>
      <c r="V185" s="250">
        <v>0.8</v>
      </c>
      <c r="W185" s="250">
        <v>0.9</v>
      </c>
      <c r="X185" s="250">
        <v>1</v>
      </c>
      <c r="Y185" s="475"/>
      <c r="Z185" s="353"/>
      <c r="AA185" s="353"/>
      <c r="AB185" s="354">
        <v>1</v>
      </c>
      <c r="AC185" s="355" t="s">
        <v>951</v>
      </c>
      <c r="AD185" s="355" t="s">
        <v>952</v>
      </c>
      <c r="AE185" s="355" t="s">
        <v>953</v>
      </c>
      <c r="AF185" s="355" t="s">
        <v>954</v>
      </c>
      <c r="AG185" s="355">
        <v>50</v>
      </c>
      <c r="AH185" s="355">
        <v>50</v>
      </c>
      <c r="AI185" s="476"/>
      <c r="AJ185" s="476"/>
      <c r="AK185" s="476"/>
      <c r="AL185" s="454">
        <f t="shared" si="83"/>
        <v>100</v>
      </c>
      <c r="AM185" s="350" t="s">
        <v>951</v>
      </c>
      <c r="AN185" s="350" t="s">
        <v>155</v>
      </c>
      <c r="AO185" s="311"/>
      <c r="AP185" s="477"/>
      <c r="AQ185" s="356"/>
      <c r="AR185" s="350" t="s">
        <v>155</v>
      </c>
      <c r="AS185" s="356"/>
      <c r="AT185" s="350" t="s">
        <v>155</v>
      </c>
      <c r="AU185" s="356"/>
      <c r="AV185" s="356"/>
      <c r="AW185" s="477"/>
      <c r="AX185" s="350" t="s">
        <v>189</v>
      </c>
      <c r="AY185" s="356"/>
      <c r="AZ185" s="356"/>
      <c r="BA185" s="477"/>
      <c r="BB185" s="350" t="s">
        <v>189</v>
      </c>
      <c r="BC185" s="356"/>
      <c r="BD185" s="356"/>
      <c r="BE185" s="477"/>
      <c r="BF185" s="350" t="s">
        <v>189</v>
      </c>
      <c r="BG185" s="356"/>
      <c r="BH185" s="356"/>
      <c r="BI185" s="356"/>
      <c r="BJ185" s="356"/>
      <c r="BK185" s="356"/>
      <c r="BL185" s="356"/>
      <c r="BM185" s="356"/>
      <c r="BN185" s="356"/>
      <c r="BO185" s="311"/>
      <c r="BP185" s="356"/>
      <c r="BQ185" s="311"/>
      <c r="BR185" s="356"/>
      <c r="BS185" s="311"/>
      <c r="BT185" s="356"/>
      <c r="BU185" s="311"/>
      <c r="BV185" s="356"/>
      <c r="BW185" s="97" t="str">
        <f t="shared" si="90"/>
        <v/>
      </c>
      <c r="BX185" s="384"/>
      <c r="BY185" s="110"/>
      <c r="BZ185" s="45"/>
      <c r="CA185" s="45"/>
      <c r="CB185" s="97"/>
      <c r="CC185" s="45"/>
      <c r="CD185" s="546"/>
      <c r="CE185" s="546"/>
      <c r="CF185" s="110"/>
      <c r="CG185" s="45"/>
      <c r="CH185" s="45"/>
      <c r="CI185" s="97"/>
      <c r="CJ185" s="45"/>
      <c r="CK185" s="546"/>
      <c r="CL185" s="546"/>
      <c r="CM185" s="110"/>
      <c r="CN185" s="45"/>
      <c r="CO185" s="45"/>
      <c r="CP185" s="97"/>
      <c r="CQ185" s="45"/>
      <c r="CR185" s="546"/>
      <c r="CS185" s="546"/>
      <c r="CT185" s="110"/>
      <c r="CU185" s="45"/>
      <c r="CV185" s="45"/>
      <c r="CW185" s="97"/>
      <c r="CX185" s="45"/>
      <c r="CY185" s="546"/>
      <c r="CZ185" s="546"/>
      <c r="DA185" s="110"/>
      <c r="DB185" s="45"/>
      <c r="DC185" s="45"/>
      <c r="DD185" s="97"/>
      <c r="DE185" s="45"/>
      <c r="DF185" s="546"/>
      <c r="DG185" s="546"/>
      <c r="DH185" s="110"/>
      <c r="DI185" s="45"/>
      <c r="DJ185" s="45"/>
      <c r="DK185" s="97"/>
      <c r="DL185" s="45"/>
      <c r="DM185" s="546"/>
      <c r="DN185" s="546"/>
    </row>
    <row r="186" spans="2:118" s="376" customFormat="1" ht="216.75">
      <c r="B186" s="537"/>
      <c r="C186" s="527"/>
      <c r="D186" s="346" t="s">
        <v>1129</v>
      </c>
      <c r="E186" s="401">
        <v>4.0000000000000001E-3</v>
      </c>
      <c r="F186" s="338" t="s">
        <v>90</v>
      </c>
      <c r="G186" s="244" t="s">
        <v>137</v>
      </c>
      <c r="H186" s="438" t="s">
        <v>138</v>
      </c>
      <c r="I186" s="316" t="s">
        <v>139</v>
      </c>
      <c r="J186" s="385" t="s">
        <v>140</v>
      </c>
      <c r="K186" s="364">
        <v>44927</v>
      </c>
      <c r="L186" s="156">
        <v>46752</v>
      </c>
      <c r="M186" s="315" t="s">
        <v>97</v>
      </c>
      <c r="N186" s="315" t="s">
        <v>955</v>
      </c>
      <c r="O186" s="315" t="s">
        <v>1130</v>
      </c>
      <c r="P186" s="315" t="s">
        <v>87</v>
      </c>
      <c r="Q186" s="359">
        <v>0</v>
      </c>
      <c r="R186" s="244">
        <v>2021</v>
      </c>
      <c r="S186" s="321"/>
      <c r="T186" s="325">
        <v>0.3</v>
      </c>
      <c r="U186" s="325">
        <v>0.5</v>
      </c>
      <c r="V186" s="325">
        <v>0.65</v>
      </c>
      <c r="W186" s="325">
        <v>0.85</v>
      </c>
      <c r="X186" s="325">
        <v>1</v>
      </c>
      <c r="Y186" s="321"/>
      <c r="Z186" s="321"/>
      <c r="AA186" s="321"/>
      <c r="AB186" s="325">
        <v>1</v>
      </c>
      <c r="AC186" s="328"/>
      <c r="AD186" s="328"/>
      <c r="AE186" s="328"/>
      <c r="AF186" s="328"/>
      <c r="AG186" s="328"/>
      <c r="AH186" s="328"/>
      <c r="AI186" s="328"/>
      <c r="AJ186" s="328"/>
      <c r="AK186" s="328"/>
      <c r="AL186" s="387" t="str">
        <f t="shared" si="83"/>
        <v/>
      </c>
      <c r="AM186" s="408"/>
      <c r="AN186" s="321"/>
      <c r="AO186" s="190"/>
      <c r="AP186" s="321"/>
      <c r="AQ186" s="321"/>
      <c r="AR186" s="190" t="s">
        <v>655</v>
      </c>
      <c r="AS186" s="321"/>
      <c r="AT186" s="321"/>
      <c r="AU186" s="321"/>
      <c r="AV186" s="321" t="s">
        <v>655</v>
      </c>
      <c r="AW186" s="321"/>
      <c r="AX186" s="321"/>
      <c r="AY186" s="321"/>
      <c r="AZ186" s="321" t="s">
        <v>655</v>
      </c>
      <c r="BA186" s="321"/>
      <c r="BB186" s="321"/>
      <c r="BC186" s="321"/>
      <c r="BD186" s="321" t="s">
        <v>655</v>
      </c>
      <c r="BE186" s="321"/>
      <c r="BF186" s="321"/>
      <c r="BG186" s="321"/>
      <c r="BH186" s="321" t="s">
        <v>655</v>
      </c>
      <c r="BI186" s="321"/>
      <c r="BJ186" s="321"/>
      <c r="BK186" s="321"/>
      <c r="BL186" s="321"/>
      <c r="BM186" s="321"/>
      <c r="BN186" s="321"/>
      <c r="BO186" s="190"/>
      <c r="BP186" s="321"/>
      <c r="BQ186" s="190"/>
      <c r="BR186" s="321"/>
      <c r="BS186" s="190"/>
      <c r="BT186" s="321"/>
      <c r="BU186" s="190"/>
      <c r="BV186" s="321"/>
      <c r="BW186" s="97" t="str">
        <f t="shared" si="90"/>
        <v/>
      </c>
      <c r="BX186" s="384"/>
      <c r="BY186" s="313"/>
      <c r="BZ186" s="45"/>
      <c r="CA186" s="45"/>
      <c r="CB186" s="97"/>
      <c r="CC186" s="45"/>
      <c r="CD186" s="546"/>
      <c r="CE186" s="546"/>
      <c r="CF186" s="313"/>
      <c r="CG186" s="45"/>
      <c r="CH186" s="45"/>
      <c r="CI186" s="97"/>
      <c r="CJ186" s="45"/>
      <c r="CK186" s="546"/>
      <c r="CL186" s="546"/>
      <c r="CM186" s="313"/>
      <c r="CN186" s="45"/>
      <c r="CO186" s="45"/>
      <c r="CP186" s="97"/>
      <c r="CQ186" s="45"/>
      <c r="CR186" s="546"/>
      <c r="CS186" s="546"/>
      <c r="CT186" s="313"/>
      <c r="CU186" s="45"/>
      <c r="CV186" s="45"/>
      <c r="CW186" s="97"/>
      <c r="CX186" s="45"/>
      <c r="CY186" s="546"/>
      <c r="CZ186" s="546"/>
      <c r="DA186" s="313"/>
      <c r="DB186" s="45"/>
      <c r="DC186" s="45"/>
      <c r="DD186" s="97"/>
      <c r="DE186" s="45"/>
      <c r="DF186" s="546"/>
      <c r="DG186" s="546"/>
      <c r="DH186" s="313"/>
      <c r="DI186" s="45"/>
      <c r="DJ186" s="45"/>
      <c r="DK186" s="97"/>
      <c r="DL186" s="45"/>
      <c r="DM186" s="546"/>
      <c r="DN186" s="546"/>
    </row>
    <row r="187" spans="2:118" s="376" customFormat="1" ht="127.5">
      <c r="B187" s="537"/>
      <c r="C187" s="527"/>
      <c r="D187" s="346" t="s">
        <v>1292</v>
      </c>
      <c r="E187" s="401">
        <v>3.5000000000000001E-3</v>
      </c>
      <c r="F187" s="338" t="s">
        <v>90</v>
      </c>
      <c r="G187" s="244" t="s">
        <v>137</v>
      </c>
      <c r="H187" s="438" t="s">
        <v>1131</v>
      </c>
      <c r="I187" s="316" t="s">
        <v>1293</v>
      </c>
      <c r="J187" s="385" t="s">
        <v>608</v>
      </c>
      <c r="K187" s="364">
        <v>44682</v>
      </c>
      <c r="L187" s="361">
        <v>46387</v>
      </c>
      <c r="M187" s="315" t="s">
        <v>78</v>
      </c>
      <c r="N187" s="315" t="s">
        <v>1294</v>
      </c>
      <c r="O187" s="315" t="s">
        <v>1295</v>
      </c>
      <c r="P187" s="315" t="s">
        <v>87</v>
      </c>
      <c r="Q187" s="428">
        <v>0</v>
      </c>
      <c r="R187" s="316">
        <v>2021</v>
      </c>
      <c r="S187" s="367">
        <v>0.25</v>
      </c>
      <c r="T187" s="367">
        <v>0.7</v>
      </c>
      <c r="U187" s="367">
        <v>0.8</v>
      </c>
      <c r="V187" s="367">
        <v>0.9</v>
      </c>
      <c r="W187" s="367">
        <v>1</v>
      </c>
      <c r="X187" s="321"/>
      <c r="Y187" s="321"/>
      <c r="Z187" s="321"/>
      <c r="AA187" s="321"/>
      <c r="AB187" s="367">
        <v>1</v>
      </c>
      <c r="AC187" s="328"/>
      <c r="AD187" s="328"/>
      <c r="AE187" s="328"/>
      <c r="AF187" s="328"/>
      <c r="AG187" s="328"/>
      <c r="AH187" s="328"/>
      <c r="AI187" s="328"/>
      <c r="AJ187" s="328"/>
      <c r="AK187" s="328"/>
      <c r="AL187" s="387" t="str">
        <f t="shared" si="83"/>
        <v/>
      </c>
      <c r="AM187" s="190"/>
      <c r="AN187" s="321" t="s">
        <v>126</v>
      </c>
      <c r="AO187" s="190"/>
      <c r="AP187" s="321"/>
      <c r="AQ187" s="321"/>
      <c r="AR187" s="478" t="s">
        <v>126</v>
      </c>
      <c r="AS187" s="321"/>
      <c r="AT187" s="321"/>
      <c r="AU187" s="321"/>
      <c r="AV187" s="321" t="s">
        <v>126</v>
      </c>
      <c r="AW187" s="321"/>
      <c r="AX187" s="321"/>
      <c r="AY187" s="321"/>
      <c r="AZ187" s="321" t="s">
        <v>126</v>
      </c>
      <c r="BA187" s="321"/>
      <c r="BB187" s="321"/>
      <c r="BC187" s="321"/>
      <c r="BD187" s="321" t="s">
        <v>126</v>
      </c>
      <c r="BE187" s="321"/>
      <c r="BF187" s="321"/>
      <c r="BG187" s="321"/>
      <c r="BH187" s="321"/>
      <c r="BI187" s="321"/>
      <c r="BJ187" s="321"/>
      <c r="BK187" s="321"/>
      <c r="BL187" s="321"/>
      <c r="BM187" s="321"/>
      <c r="BN187" s="321"/>
      <c r="BO187" s="190"/>
      <c r="BP187" s="321"/>
      <c r="BQ187" s="190"/>
      <c r="BR187" s="321"/>
      <c r="BS187" s="190"/>
      <c r="BT187" s="321"/>
      <c r="BU187" s="190"/>
      <c r="BV187" s="321"/>
      <c r="BW187" s="97" t="str">
        <f t="shared" si="90"/>
        <v/>
      </c>
      <c r="BX187" s="384"/>
      <c r="BY187" s="313"/>
      <c r="BZ187" s="45"/>
      <c r="CA187" s="45"/>
      <c r="CB187" s="97"/>
      <c r="CC187" s="45"/>
      <c r="CD187" s="546"/>
      <c r="CE187" s="546"/>
      <c r="CF187" s="313"/>
      <c r="CG187" s="45"/>
      <c r="CH187" s="45"/>
      <c r="CI187" s="97"/>
      <c r="CJ187" s="45"/>
      <c r="CK187" s="546"/>
      <c r="CL187" s="546"/>
      <c r="CM187" s="313"/>
      <c r="CN187" s="45"/>
      <c r="CO187" s="45"/>
      <c r="CP187" s="97"/>
      <c r="CQ187" s="45"/>
      <c r="CR187" s="546"/>
      <c r="CS187" s="546"/>
      <c r="CT187" s="313"/>
      <c r="CU187" s="45"/>
      <c r="CV187" s="45"/>
      <c r="CW187" s="97"/>
      <c r="CX187" s="45"/>
      <c r="CY187" s="546"/>
      <c r="CZ187" s="546"/>
      <c r="DA187" s="313"/>
      <c r="DB187" s="45"/>
      <c r="DC187" s="45"/>
      <c r="DD187" s="97"/>
      <c r="DE187" s="45"/>
      <c r="DF187" s="546"/>
      <c r="DG187" s="546"/>
      <c r="DH187" s="313"/>
      <c r="DI187" s="45"/>
      <c r="DJ187" s="45"/>
      <c r="DK187" s="97"/>
      <c r="DL187" s="45"/>
      <c r="DM187" s="546"/>
      <c r="DN187" s="546"/>
    </row>
    <row r="188" spans="2:118" s="376" customFormat="1" ht="51">
      <c r="B188" s="537"/>
      <c r="C188" s="527"/>
      <c r="D188" s="416" t="s">
        <v>966</v>
      </c>
      <c r="E188" s="401">
        <v>4.0000000000000001E-3</v>
      </c>
      <c r="F188" s="338" t="s">
        <v>90</v>
      </c>
      <c r="G188" s="438" t="s">
        <v>228</v>
      </c>
      <c r="H188" s="438" t="s">
        <v>239</v>
      </c>
      <c r="I188" s="438" t="s">
        <v>609</v>
      </c>
      <c r="J188" s="385" t="s">
        <v>610</v>
      </c>
      <c r="K188" s="361">
        <v>44713</v>
      </c>
      <c r="L188" s="156">
        <v>47848</v>
      </c>
      <c r="M188" s="315" t="s">
        <v>97</v>
      </c>
      <c r="N188" s="315" t="s">
        <v>1132</v>
      </c>
      <c r="O188" s="315" t="s">
        <v>1133</v>
      </c>
      <c r="P188" s="315" t="s">
        <v>87</v>
      </c>
      <c r="Q188" s="194">
        <v>0</v>
      </c>
      <c r="R188" s="338">
        <v>2022</v>
      </c>
      <c r="S188" s="194">
        <v>4250</v>
      </c>
      <c r="T188" s="194">
        <v>8500</v>
      </c>
      <c r="U188" s="194">
        <v>12750</v>
      </c>
      <c r="V188" s="194">
        <v>17000</v>
      </c>
      <c r="W188" s="194">
        <v>21675</v>
      </c>
      <c r="X188" s="194">
        <v>26350</v>
      </c>
      <c r="Y188" s="194">
        <v>31025</v>
      </c>
      <c r="Z188" s="194">
        <v>35700</v>
      </c>
      <c r="AA188" s="194">
        <v>40842</v>
      </c>
      <c r="AB188" s="194">
        <v>40842</v>
      </c>
      <c r="AC188" s="328">
        <v>45.6</v>
      </c>
      <c r="AD188" s="328">
        <v>45.6</v>
      </c>
      <c r="AE188" s="328">
        <v>45.6</v>
      </c>
      <c r="AF188" s="328">
        <v>45.6</v>
      </c>
      <c r="AG188" s="328">
        <v>45.6</v>
      </c>
      <c r="AH188" s="328">
        <v>45.6</v>
      </c>
      <c r="AI188" s="328">
        <v>45.6</v>
      </c>
      <c r="AJ188" s="328">
        <v>45.6</v>
      </c>
      <c r="AK188" s="328">
        <v>45.6</v>
      </c>
      <c r="AL188" s="387">
        <f t="shared" si="83"/>
        <v>410.40000000000009</v>
      </c>
      <c r="AM188" s="284">
        <v>45.6</v>
      </c>
      <c r="AN188" s="316" t="s">
        <v>114</v>
      </c>
      <c r="AO188" s="190"/>
      <c r="AP188" s="194"/>
      <c r="AQ188" s="284">
        <v>45.6</v>
      </c>
      <c r="AR188" s="316" t="s">
        <v>114</v>
      </c>
      <c r="AS188" s="190"/>
      <c r="AT188" s="194"/>
      <c r="AU188" s="284">
        <v>45.6</v>
      </c>
      <c r="AV188" s="316" t="s">
        <v>114</v>
      </c>
      <c r="AW188" s="321"/>
      <c r="AX188" s="194"/>
      <c r="AY188" s="284">
        <v>45.6</v>
      </c>
      <c r="AZ188" s="316" t="s">
        <v>114</v>
      </c>
      <c r="BA188" s="321"/>
      <c r="BB188" s="194"/>
      <c r="BC188" s="284">
        <v>45.6</v>
      </c>
      <c r="BD188" s="316" t="s">
        <v>114</v>
      </c>
      <c r="BE188" s="321"/>
      <c r="BF188" s="194"/>
      <c r="BG188" s="284">
        <v>45.6</v>
      </c>
      <c r="BH188" s="316" t="s">
        <v>114</v>
      </c>
      <c r="BI188" s="321"/>
      <c r="BJ188" s="194"/>
      <c r="BK188" s="284">
        <v>45.6</v>
      </c>
      <c r="BL188" s="316" t="s">
        <v>114</v>
      </c>
      <c r="BM188" s="321"/>
      <c r="BN188" s="194"/>
      <c r="BO188" s="284">
        <v>45.6</v>
      </c>
      <c r="BP188" s="316" t="s">
        <v>114</v>
      </c>
      <c r="BQ188" s="321"/>
      <c r="BR188" s="194"/>
      <c r="BS188" s="284">
        <v>45.6</v>
      </c>
      <c r="BT188" s="316" t="s">
        <v>114</v>
      </c>
      <c r="BU188" s="190"/>
      <c r="BV188" s="194"/>
      <c r="BW188" s="97">
        <f t="shared" si="90"/>
        <v>410.40000000000009</v>
      </c>
      <c r="BX188" s="384"/>
      <c r="BY188" s="313"/>
      <c r="BZ188" s="45"/>
      <c r="CA188" s="45"/>
      <c r="CB188" s="97"/>
      <c r="CC188" s="45"/>
      <c r="CD188" s="546"/>
      <c r="CE188" s="546"/>
      <c r="CF188" s="313"/>
      <c r="CG188" s="45"/>
      <c r="CH188" s="45"/>
      <c r="CI188" s="97"/>
      <c r="CJ188" s="45"/>
      <c r="CK188" s="546"/>
      <c r="CL188" s="546"/>
      <c r="CM188" s="313"/>
      <c r="CN188" s="45"/>
      <c r="CO188" s="45"/>
      <c r="CP188" s="97"/>
      <c r="CQ188" s="45"/>
      <c r="CR188" s="546"/>
      <c r="CS188" s="546"/>
      <c r="CT188" s="313"/>
      <c r="CU188" s="45"/>
      <c r="CV188" s="45"/>
      <c r="CW188" s="97"/>
      <c r="CX188" s="45"/>
      <c r="CY188" s="546"/>
      <c r="CZ188" s="546"/>
      <c r="DA188" s="313"/>
      <c r="DB188" s="45"/>
      <c r="DC188" s="45"/>
      <c r="DD188" s="97"/>
      <c r="DE188" s="45"/>
      <c r="DF188" s="546"/>
      <c r="DG188" s="546"/>
      <c r="DH188" s="313"/>
      <c r="DI188" s="45"/>
      <c r="DJ188" s="45"/>
      <c r="DK188" s="97"/>
      <c r="DL188" s="45"/>
      <c r="DM188" s="546"/>
      <c r="DN188" s="546"/>
    </row>
    <row r="189" spans="2:118" ht="89.25">
      <c r="B189" s="537"/>
      <c r="C189" s="527"/>
      <c r="D189" s="346" t="s">
        <v>967</v>
      </c>
      <c r="E189" s="401">
        <v>3.5000000000000001E-3</v>
      </c>
      <c r="F189" s="338" t="s">
        <v>90</v>
      </c>
      <c r="G189" s="320" t="s">
        <v>276</v>
      </c>
      <c r="H189" s="130" t="s">
        <v>362</v>
      </c>
      <c r="I189" s="223" t="s">
        <v>363</v>
      </c>
      <c r="J189" s="385" t="s">
        <v>364</v>
      </c>
      <c r="K189" s="156">
        <v>44835</v>
      </c>
      <c r="L189" s="156">
        <v>47848</v>
      </c>
      <c r="M189" s="136" t="s">
        <v>97</v>
      </c>
      <c r="N189" s="136" t="s">
        <v>611</v>
      </c>
      <c r="O189" s="136" t="s">
        <v>612</v>
      </c>
      <c r="P189" s="136" t="s">
        <v>125</v>
      </c>
      <c r="Q189" s="201">
        <v>0.65</v>
      </c>
      <c r="R189" s="136">
        <v>2021</v>
      </c>
      <c r="S189" s="201">
        <v>0.66676299692401808</v>
      </c>
      <c r="T189" s="201">
        <v>0.684133702419636</v>
      </c>
      <c r="U189" s="201">
        <v>0.70150440791525381</v>
      </c>
      <c r="V189" s="201">
        <v>0.71887511341087174</v>
      </c>
      <c r="W189" s="201">
        <v>0.73624581890648955</v>
      </c>
      <c r="X189" s="201">
        <v>0.75361652440210747</v>
      </c>
      <c r="Y189" s="201">
        <v>0.77098722989772528</v>
      </c>
      <c r="Z189" s="201">
        <v>0.7883579353933432</v>
      </c>
      <c r="AA189" s="201">
        <v>0.80572864088896101</v>
      </c>
      <c r="AB189" s="367">
        <v>0.74</v>
      </c>
      <c r="AC189" s="331">
        <v>24319</v>
      </c>
      <c r="AD189" s="331">
        <v>63864</v>
      </c>
      <c r="AE189" s="331">
        <v>68761</v>
      </c>
      <c r="AF189" s="331">
        <v>73988</v>
      </c>
      <c r="AG189" s="331">
        <v>79565</v>
      </c>
      <c r="AH189" s="331">
        <v>85515</v>
      </c>
      <c r="AI189" s="331">
        <v>91857</v>
      </c>
      <c r="AJ189" s="331">
        <v>98624</v>
      </c>
      <c r="AK189" s="331">
        <v>105838</v>
      </c>
      <c r="AL189" s="454">
        <f t="shared" si="83"/>
        <v>692331</v>
      </c>
      <c r="AM189" s="254">
        <v>24319</v>
      </c>
      <c r="AN189" s="136" t="s">
        <v>114</v>
      </c>
      <c r="AO189" s="127"/>
      <c r="AP189" s="127"/>
      <c r="AQ189" s="254">
        <v>63864</v>
      </c>
      <c r="AR189" s="136" t="s">
        <v>114</v>
      </c>
      <c r="AS189" s="127"/>
      <c r="AT189" s="127"/>
      <c r="AU189" s="254">
        <v>68761</v>
      </c>
      <c r="AV189" s="136" t="s">
        <v>114</v>
      </c>
      <c r="AW189" s="202"/>
      <c r="AX189" s="202"/>
      <c r="AY189" s="255">
        <f>+AF189</f>
        <v>73988</v>
      </c>
      <c r="AZ189" s="136" t="s">
        <v>114</v>
      </c>
      <c r="BA189" s="127"/>
      <c r="BB189" s="127"/>
      <c r="BC189" s="255">
        <f>+AG189</f>
        <v>79565</v>
      </c>
      <c r="BD189" s="136" t="s">
        <v>114</v>
      </c>
      <c r="BE189" s="127"/>
      <c r="BF189" s="127"/>
      <c r="BG189" s="255">
        <f>+AH189</f>
        <v>85515</v>
      </c>
      <c r="BH189" s="136" t="s">
        <v>114</v>
      </c>
      <c r="BI189" s="127"/>
      <c r="BJ189" s="127"/>
      <c r="BK189" s="255">
        <f>+AI189</f>
        <v>91857</v>
      </c>
      <c r="BL189" s="136" t="s">
        <v>114</v>
      </c>
      <c r="BM189" s="127"/>
      <c r="BN189" s="127"/>
      <c r="BO189" s="255">
        <f>+AJ189</f>
        <v>98624</v>
      </c>
      <c r="BP189" s="136" t="s">
        <v>114</v>
      </c>
      <c r="BQ189" s="127"/>
      <c r="BR189" s="127"/>
      <c r="BS189" s="255">
        <f>+AK189</f>
        <v>105838</v>
      </c>
      <c r="BT189" s="136" t="s">
        <v>114</v>
      </c>
      <c r="BU189" s="127"/>
      <c r="BV189" s="127"/>
      <c r="BW189" s="97">
        <f t="shared" si="90"/>
        <v>692331</v>
      </c>
      <c r="BX189" s="384"/>
      <c r="BY189" s="110"/>
      <c r="BZ189" s="45"/>
      <c r="CA189" s="45"/>
      <c r="CB189" s="97"/>
      <c r="CC189" s="45"/>
      <c r="CD189" s="546"/>
      <c r="CE189" s="546"/>
      <c r="CF189" s="110"/>
      <c r="CG189" s="45"/>
      <c r="CH189" s="45"/>
      <c r="CI189" s="97"/>
      <c r="CJ189" s="45"/>
      <c r="CK189" s="546"/>
      <c r="CL189" s="546"/>
      <c r="CM189" s="110"/>
      <c r="CN189" s="45"/>
      <c r="CO189" s="45"/>
      <c r="CP189" s="97"/>
      <c r="CQ189" s="45"/>
      <c r="CR189" s="546"/>
      <c r="CS189" s="546"/>
      <c r="CT189" s="110"/>
      <c r="CU189" s="45"/>
      <c r="CV189" s="45"/>
      <c r="CW189" s="97"/>
      <c r="CX189" s="45"/>
      <c r="CY189" s="546"/>
      <c r="CZ189" s="546"/>
      <c r="DA189" s="110"/>
      <c r="DB189" s="45"/>
      <c r="DC189" s="45"/>
      <c r="DD189" s="97"/>
      <c r="DE189" s="45"/>
      <c r="DF189" s="546"/>
      <c r="DG189" s="546"/>
      <c r="DH189" s="110"/>
      <c r="DI189" s="45"/>
      <c r="DJ189" s="45"/>
      <c r="DK189" s="97"/>
      <c r="DL189" s="45"/>
      <c r="DM189" s="546"/>
      <c r="DN189" s="546"/>
    </row>
    <row r="190" spans="2:118" s="360" customFormat="1" ht="38.25">
      <c r="B190" s="537"/>
      <c r="C190" s="527"/>
      <c r="D190" s="377" t="s">
        <v>1134</v>
      </c>
      <c r="E190" s="401">
        <v>3.5000000000000001E-3</v>
      </c>
      <c r="F190" s="338" t="s">
        <v>90</v>
      </c>
      <c r="G190" s="316" t="s">
        <v>613</v>
      </c>
      <c r="H190" s="316" t="s">
        <v>1296</v>
      </c>
      <c r="I190" s="316" t="s">
        <v>614</v>
      </c>
      <c r="J190" s="385" t="s">
        <v>615</v>
      </c>
      <c r="K190" s="361">
        <v>44682</v>
      </c>
      <c r="L190" s="156">
        <v>47848</v>
      </c>
      <c r="M190" s="316" t="s">
        <v>97</v>
      </c>
      <c r="N190" s="316" t="s">
        <v>616</v>
      </c>
      <c r="O190" s="316" t="s">
        <v>1297</v>
      </c>
      <c r="P190" s="338" t="s">
        <v>540</v>
      </c>
      <c r="Q190" s="338">
        <v>0</v>
      </c>
      <c r="R190" s="316">
        <v>2022</v>
      </c>
      <c r="S190" s="386">
        <v>820</v>
      </c>
      <c r="T190" s="386">
        <v>2020</v>
      </c>
      <c r="U190" s="386">
        <v>3220</v>
      </c>
      <c r="V190" s="386">
        <v>4420</v>
      </c>
      <c r="W190" s="386">
        <v>5620</v>
      </c>
      <c r="X190" s="386">
        <v>6820</v>
      </c>
      <c r="Y190" s="386">
        <v>8020</v>
      </c>
      <c r="Z190" s="386">
        <v>9220</v>
      </c>
      <c r="AA190" s="386">
        <v>10420</v>
      </c>
      <c r="AB190" s="386">
        <v>10420</v>
      </c>
      <c r="AC190" s="333"/>
      <c r="AD190" s="333"/>
      <c r="AE190" s="333"/>
      <c r="AF190" s="333"/>
      <c r="AG190" s="333"/>
      <c r="AH190" s="333"/>
      <c r="AI190" s="333"/>
      <c r="AJ190" s="333"/>
      <c r="AK190" s="333"/>
      <c r="AL190" s="387" t="str">
        <f t="shared" si="83"/>
        <v/>
      </c>
      <c r="AM190" s="400"/>
      <c r="AN190" s="194" t="s">
        <v>956</v>
      </c>
      <c r="AO190" s="338"/>
      <c r="AP190" s="194"/>
      <c r="AQ190" s="400"/>
      <c r="AR190" s="194" t="s">
        <v>956</v>
      </c>
      <c r="AS190" s="338"/>
      <c r="AT190" s="194"/>
      <c r="AU190" s="400"/>
      <c r="AV190" s="194" t="s">
        <v>956</v>
      </c>
      <c r="AW190" s="338"/>
      <c r="AX190" s="194"/>
      <c r="AY190" s="400"/>
      <c r="AZ190" s="194" t="s">
        <v>956</v>
      </c>
      <c r="BA190" s="338"/>
      <c r="BB190" s="194"/>
      <c r="BC190" s="400"/>
      <c r="BD190" s="194" t="s">
        <v>956</v>
      </c>
      <c r="BE190" s="338"/>
      <c r="BF190" s="194"/>
      <c r="BG190" s="400"/>
      <c r="BH190" s="194" t="s">
        <v>956</v>
      </c>
      <c r="BI190" s="338"/>
      <c r="BJ190" s="194"/>
      <c r="BK190" s="400"/>
      <c r="BL190" s="194" t="s">
        <v>956</v>
      </c>
      <c r="BM190" s="338"/>
      <c r="BN190" s="194"/>
      <c r="BO190" s="400"/>
      <c r="BP190" s="194" t="s">
        <v>956</v>
      </c>
      <c r="BQ190" s="338"/>
      <c r="BR190" s="194"/>
      <c r="BS190" s="400"/>
      <c r="BT190" s="194" t="s">
        <v>956</v>
      </c>
      <c r="BU190" s="338"/>
      <c r="BV190" s="194"/>
      <c r="BW190" s="97" t="str">
        <f t="shared" si="90"/>
        <v/>
      </c>
      <c r="BX190" s="384"/>
      <c r="BY190" s="313"/>
      <c r="BZ190" s="45"/>
      <c r="CA190" s="45"/>
      <c r="CB190" s="97"/>
      <c r="CC190" s="45"/>
      <c r="CD190" s="313"/>
      <c r="CE190" s="313"/>
      <c r="CF190" s="313"/>
      <c r="CG190" s="45"/>
      <c r="CH190" s="45"/>
      <c r="CI190" s="97"/>
      <c r="CJ190" s="45"/>
      <c r="CK190" s="313"/>
      <c r="CL190" s="313"/>
      <c r="CM190" s="313"/>
      <c r="CN190" s="45"/>
      <c r="CO190" s="45"/>
      <c r="CP190" s="97"/>
      <c r="CQ190" s="45"/>
      <c r="CR190" s="313"/>
      <c r="CS190" s="313"/>
      <c r="CT190" s="313"/>
      <c r="CU190" s="45"/>
      <c r="CV190" s="45"/>
      <c r="CW190" s="97"/>
      <c r="CX190" s="45"/>
      <c r="CY190" s="313"/>
      <c r="CZ190" s="313"/>
      <c r="DA190" s="313"/>
      <c r="DB190" s="45"/>
      <c r="DC190" s="45"/>
      <c r="DD190" s="97"/>
      <c r="DE190" s="45"/>
      <c r="DF190" s="313"/>
      <c r="DG190" s="313"/>
      <c r="DH190" s="313"/>
      <c r="DI190" s="45"/>
      <c r="DJ190" s="45"/>
      <c r="DK190" s="97"/>
      <c r="DL190" s="45"/>
      <c r="DM190" s="313"/>
      <c r="DN190" s="313"/>
    </row>
    <row r="191" spans="2:118" s="376" customFormat="1" ht="140.25">
      <c r="B191" s="537"/>
      <c r="C191" s="527"/>
      <c r="D191" s="377" t="s">
        <v>1298</v>
      </c>
      <c r="E191" s="401">
        <v>3.5000000000000001E-3</v>
      </c>
      <c r="F191" s="338" t="s">
        <v>90</v>
      </c>
      <c r="G191" s="316" t="s">
        <v>569</v>
      </c>
      <c r="H191" s="316" t="s">
        <v>138</v>
      </c>
      <c r="I191" s="316" t="s">
        <v>186</v>
      </c>
      <c r="J191" s="385" t="s">
        <v>140</v>
      </c>
      <c r="K191" s="362">
        <v>44713</v>
      </c>
      <c r="L191" s="156">
        <v>47848</v>
      </c>
      <c r="M191" s="316" t="s">
        <v>97</v>
      </c>
      <c r="N191" s="316" t="s">
        <v>1280</v>
      </c>
      <c r="O191" s="316" t="s">
        <v>1299</v>
      </c>
      <c r="P191" s="338" t="s">
        <v>87</v>
      </c>
      <c r="Q191" s="367">
        <v>0</v>
      </c>
      <c r="R191" s="338">
        <v>2022</v>
      </c>
      <c r="S191" s="367">
        <v>0.2</v>
      </c>
      <c r="T191" s="367">
        <v>0.3</v>
      </c>
      <c r="U191" s="367">
        <v>0.4</v>
      </c>
      <c r="V191" s="367">
        <v>0.5</v>
      </c>
      <c r="W191" s="367">
        <v>0.6</v>
      </c>
      <c r="X191" s="367">
        <v>0.7</v>
      </c>
      <c r="Y191" s="367">
        <v>0.8</v>
      </c>
      <c r="Z191" s="367">
        <v>0.9</v>
      </c>
      <c r="AA191" s="367">
        <v>1</v>
      </c>
      <c r="AB191" s="367">
        <v>1</v>
      </c>
      <c r="AC191" s="333">
        <v>146</v>
      </c>
      <c r="AD191" s="333">
        <v>58</v>
      </c>
      <c r="AE191" s="333">
        <v>60</v>
      </c>
      <c r="AF191" s="333">
        <v>62</v>
      </c>
      <c r="AG191" s="333">
        <v>64</v>
      </c>
      <c r="AH191" s="333">
        <v>66</v>
      </c>
      <c r="AI191" s="333">
        <v>68</v>
      </c>
      <c r="AJ191" s="333">
        <v>70</v>
      </c>
      <c r="AK191" s="333">
        <v>72</v>
      </c>
      <c r="AL191" s="387">
        <f t="shared" si="83"/>
        <v>666</v>
      </c>
      <c r="AM191" s="461">
        <v>56</v>
      </c>
      <c r="AN191" s="316" t="s">
        <v>80</v>
      </c>
      <c r="AO191" s="461">
        <v>90</v>
      </c>
      <c r="AP191" s="316" t="s">
        <v>189</v>
      </c>
      <c r="AQ191" s="461">
        <v>58</v>
      </c>
      <c r="AR191" s="316" t="s">
        <v>80</v>
      </c>
      <c r="AS191" s="316" t="s">
        <v>81</v>
      </c>
      <c r="AT191" s="316" t="s">
        <v>81</v>
      </c>
      <c r="AU191" s="461">
        <v>60</v>
      </c>
      <c r="AV191" s="316" t="s">
        <v>80</v>
      </c>
      <c r="AW191" s="316" t="s">
        <v>81</v>
      </c>
      <c r="AX191" s="316" t="s">
        <v>81</v>
      </c>
      <c r="AY191" s="316">
        <v>62</v>
      </c>
      <c r="AZ191" s="316" t="s">
        <v>80</v>
      </c>
      <c r="BA191" s="338"/>
      <c r="BB191" s="338"/>
      <c r="BC191" s="341">
        <v>64</v>
      </c>
      <c r="BD191" s="316" t="s">
        <v>602</v>
      </c>
      <c r="BE191" s="338"/>
      <c r="BF191" s="338"/>
      <c r="BG191" s="341">
        <v>66</v>
      </c>
      <c r="BH191" s="316" t="s">
        <v>602</v>
      </c>
      <c r="BI191" s="338"/>
      <c r="BJ191" s="338"/>
      <c r="BK191" s="341">
        <v>68</v>
      </c>
      <c r="BL191" s="316" t="s">
        <v>602</v>
      </c>
      <c r="BM191" s="338"/>
      <c r="BN191" s="338"/>
      <c r="BO191" s="341">
        <v>70</v>
      </c>
      <c r="BP191" s="316" t="s">
        <v>602</v>
      </c>
      <c r="BQ191" s="338"/>
      <c r="BR191" s="338"/>
      <c r="BS191" s="341">
        <v>72</v>
      </c>
      <c r="BT191" s="316" t="s">
        <v>602</v>
      </c>
      <c r="BU191" s="338"/>
      <c r="BV191" s="338"/>
      <c r="BW191" s="97">
        <f t="shared" si="90"/>
        <v>666</v>
      </c>
      <c r="BX191" s="384"/>
      <c r="BY191" s="313"/>
      <c r="BZ191" s="45"/>
      <c r="CA191" s="45"/>
      <c r="CB191" s="97"/>
      <c r="CC191" s="45"/>
      <c r="CD191" s="313"/>
      <c r="CE191" s="313"/>
      <c r="CF191" s="313"/>
      <c r="CG191" s="45"/>
      <c r="CH191" s="45"/>
      <c r="CI191" s="97"/>
      <c r="CJ191" s="45"/>
      <c r="CK191" s="313"/>
      <c r="CL191" s="313"/>
      <c r="CM191" s="313"/>
      <c r="CN191" s="45"/>
      <c r="CO191" s="45"/>
      <c r="CP191" s="97"/>
      <c r="CQ191" s="45"/>
      <c r="CR191" s="313"/>
      <c r="CS191" s="313"/>
      <c r="CT191" s="313"/>
      <c r="CU191" s="45"/>
      <c r="CV191" s="45"/>
      <c r="CW191" s="97"/>
      <c r="CX191" s="45"/>
      <c r="CY191" s="313"/>
      <c r="CZ191" s="313"/>
      <c r="DA191" s="313"/>
      <c r="DB191" s="45"/>
      <c r="DC191" s="45"/>
      <c r="DD191" s="97"/>
      <c r="DE191" s="45"/>
      <c r="DF191" s="313"/>
      <c r="DG191" s="313"/>
      <c r="DH191" s="313"/>
      <c r="DI191" s="45"/>
      <c r="DJ191" s="45"/>
      <c r="DK191" s="97"/>
      <c r="DL191" s="45"/>
      <c r="DM191" s="313"/>
      <c r="DN191" s="313"/>
    </row>
    <row r="192" spans="2:118" s="376" customFormat="1" ht="165.75">
      <c r="B192" s="526" t="s">
        <v>979</v>
      </c>
      <c r="C192" s="527">
        <v>0.1</v>
      </c>
      <c r="D192" s="306" t="s">
        <v>937</v>
      </c>
      <c r="E192" s="431">
        <v>1.2E-2</v>
      </c>
      <c r="F192" s="438" t="s">
        <v>90</v>
      </c>
      <c r="G192" s="438" t="s">
        <v>617</v>
      </c>
      <c r="H192" s="438" t="s">
        <v>1135</v>
      </c>
      <c r="I192" s="438" t="s">
        <v>618</v>
      </c>
      <c r="J192" s="385" t="s">
        <v>619</v>
      </c>
      <c r="K192" s="362">
        <v>44928</v>
      </c>
      <c r="L192" s="192">
        <v>46022</v>
      </c>
      <c r="M192" s="315" t="s">
        <v>78</v>
      </c>
      <c r="N192" s="315" t="s">
        <v>1136</v>
      </c>
      <c r="O192" s="315" t="s">
        <v>1137</v>
      </c>
      <c r="P192" s="315" t="s">
        <v>87</v>
      </c>
      <c r="Q192" s="359">
        <v>0</v>
      </c>
      <c r="R192" s="216">
        <v>2021</v>
      </c>
      <c r="S192" s="194"/>
      <c r="T192" s="243">
        <v>0.4</v>
      </c>
      <c r="U192" s="243">
        <v>0.6</v>
      </c>
      <c r="V192" s="243">
        <v>1</v>
      </c>
      <c r="W192" s="194"/>
      <c r="X192" s="194"/>
      <c r="Y192" s="194"/>
      <c r="Z192" s="194"/>
      <c r="AA192" s="194"/>
      <c r="AB192" s="243">
        <v>1</v>
      </c>
      <c r="AC192" s="328"/>
      <c r="AD192" s="328">
        <v>4</v>
      </c>
      <c r="AE192" s="328">
        <v>4.3</v>
      </c>
      <c r="AF192" s="328">
        <v>4.5</v>
      </c>
      <c r="AG192" s="328"/>
      <c r="AH192" s="328"/>
      <c r="AI192" s="328"/>
      <c r="AJ192" s="328"/>
      <c r="AK192" s="328"/>
      <c r="AL192" s="387">
        <f t="shared" ref="AL192:AL220" si="92">IF(SUM(AC192:AK192)=0,"",SUM(AC192:AK192))</f>
        <v>12.8</v>
      </c>
      <c r="AM192" s="397"/>
      <c r="AN192" s="194"/>
      <c r="AO192" s="190"/>
      <c r="AP192" s="194"/>
      <c r="AQ192" s="190" t="s">
        <v>620</v>
      </c>
      <c r="AR192" s="194" t="s">
        <v>114</v>
      </c>
      <c r="AS192" s="190"/>
      <c r="AT192" s="194"/>
      <c r="AU192" s="190" t="s">
        <v>621</v>
      </c>
      <c r="AV192" s="194" t="s">
        <v>114</v>
      </c>
      <c r="AW192" s="321"/>
      <c r="AX192" s="194"/>
      <c r="AY192" s="190" t="s">
        <v>622</v>
      </c>
      <c r="AZ192" s="194" t="s">
        <v>114</v>
      </c>
      <c r="BA192" s="321"/>
      <c r="BB192" s="194"/>
      <c r="BC192" s="321"/>
      <c r="BD192" s="194"/>
      <c r="BE192" s="321"/>
      <c r="BF192" s="194"/>
      <c r="BG192" s="321"/>
      <c r="BH192" s="194"/>
      <c r="BI192" s="321"/>
      <c r="BJ192" s="194"/>
      <c r="BK192" s="321"/>
      <c r="BL192" s="194"/>
      <c r="BM192" s="321"/>
      <c r="BN192" s="194"/>
      <c r="BO192" s="321"/>
      <c r="BP192" s="194"/>
      <c r="BQ192" s="321"/>
      <c r="BR192" s="194"/>
      <c r="BS192" s="190"/>
      <c r="BT192" s="194"/>
      <c r="BU192" s="190"/>
      <c r="BV192" s="194"/>
      <c r="BW192" s="97" t="str">
        <f t="shared" si="90"/>
        <v/>
      </c>
      <c r="BX192" s="384" t="s">
        <v>623</v>
      </c>
      <c r="BY192" s="53"/>
      <c r="BZ192" s="45" t="str">
        <f>IF(BY192="","",IF(IF(OR(P192=Desplegables!$B$5,P192=Desplegables!$B$6,),(Q192-BY192)/(Q192-S192),BY192/S192)&lt;0,0%,IF(IF(OR(P192=Desplegables!$B$5,P192=Desplegables!$B$6,),(Q192-BY192)/(Q192-S192),BY192/S192)&gt;1,100%,IF(OR(P192=Desplegables!$B$5,P192=Desplegables!$B$6,),(Q192-BY192)/(Q192-S192),BY192/S192))))</f>
        <v/>
      </c>
      <c r="CA192" s="45" t="str">
        <f>IF(BY192="","",IF(IF(OR(P192=Desplegables!$B$5,P192=Desplegables!$B$6,),(Q192-BY192)/(Q192-AB192),BY192/AB192)&lt;0,0%,IF(IF(OR(P192=Desplegables!$B$5,P192=Desplegables!$B$6,),(Q192-BY192)/(Q192-AB192),BY192/AB192)&gt;1,100%,IF(OR(P192=Desplegables!$B$5,P192=Desplegables!$B$6,),(Q192-BY192)/(Q192-AB192),BY192/AB192))))</f>
        <v/>
      </c>
      <c r="CB192" s="97"/>
      <c r="CC192" s="45" t="str">
        <f t="shared" ref="CC192" si="93">IF(CB192="","",IF(CB192/SUM(AM192,AO192)&gt;1,100%,CB192/SUM(AM192,AO192)))</f>
        <v/>
      </c>
      <c r="CD192" s="546">
        <f>IFERROR((SUMPRODUCT($E$192:$E$220,BZ192:BZ220)*100%)/SUM($E$192:$E$220),"")</f>
        <v>0</v>
      </c>
      <c r="CE192" s="546">
        <f>IFERROR((SUMPRODUCT($E$192:$E$220,CA192:CA220)*100%)/SUM($E$192:$E$220),"")</f>
        <v>0</v>
      </c>
      <c r="CF192" s="53"/>
      <c r="CG192" s="45" t="str">
        <f>IF(CF192="","",IF(IF(OR(P192=Desplegables!$B$5,P192=Desplegables!$B$6,),(Q192-CF192)/(Q192-S192),CF192/S192)&lt;0,0%,IF(IF(OR(P192=Desplegables!$B$5,P192=Desplegables!$B$6,),(Q192-CF192)/(Q192-S192),CF192/S192)&gt;1,100%,IF(OR(P192=Desplegables!$B$5,P192=Desplegables!$B$6,),(Q192-CF192)/(Q192-S192),CF192/S192))))</f>
        <v/>
      </c>
      <c r="CH192" s="45" t="str">
        <f>IF(CF192="","",IF(IF(OR(P192=Desplegables!$B$5,P192=Desplegables!$B$6,),(Q192-CF192)/(Q192-AB192),CF192/AB192)&lt;0,0%,IF(IF(OR(P192=Desplegables!$B$5,P192=Desplegables!$B$6,),(Q192-CF192)/(Q192-AB192),CF192/AB192)&gt;1,100%,IF(OR(P192=Desplegables!$B$5,P192=Desplegables!$B$6,),(Q192-CF192)/(Q192-AB192),CF192/AB192))))</f>
        <v/>
      </c>
      <c r="CI192" s="97"/>
      <c r="CJ192" s="45" t="str">
        <f t="shared" ref="CJ192" si="94">IF(SUM(CB192,CI192)=0,"",IF(SUM(CB192,CI192)/SUM(AM192,AO192)&gt;1,100%,SUM(CB192,CI192)/SUM(AM192,AO192)))</f>
        <v/>
      </c>
      <c r="CK192" s="546">
        <f>IFERROR((SUMPRODUCT($E$192:$E$220,CG192:CG220)*100%)/SUM($E$192:$E$220),"")</f>
        <v>0</v>
      </c>
      <c r="CL192" s="546">
        <f>IFERROR((SUMPRODUCT($E$192:$E$220,CH192:CH220)*100%)/SUM($E$192:$E$220),"")</f>
        <v>0</v>
      </c>
      <c r="CM192" s="53"/>
      <c r="CN192" s="45" t="str">
        <f>IF(CM192="","",IF(IF(OR(P192=Desplegables!$B$5,P192=Desplegables!$B$6,),(Q192-CM192)/(Q192-T192),CM192/T192)&lt;0,0%,IF(IF(OR(P192=Desplegables!$B$5,P192=Desplegables!$B$6,),(Q192-CM192)/(Q192-T192),CM192/T192)&gt;1,100%,IF(OR(P192=Desplegables!$B$5,P192=Desplegables!$B$6,),(Q192-CM192)/(Q192-T192),CM192/T192))))</f>
        <v/>
      </c>
      <c r="CO192" s="45" t="str">
        <f>IF(CM192="","",IF(IF(OR(P192=Desplegables!$B$5,P192=Desplegables!$B$6,),(Q192-CM192)/(Q192-AB192),IF(P192=Desplegables!$B$3,AVERAGE(CM192,CF192)/AB192,CM192/AB192))&lt;0,0%,IF(IF(OR(P192=Desplegables!$B$5,P192=Desplegables!$B$6,),(Q192-CM192)/(Q192-AB192),IF(P192=Desplegables!$B$3,AVERAGE(CM192,CF192)/AB192,CM192/AB192))&gt;1,100%,IF(OR(P192=Desplegables!$B$5,P192=Desplegables!$B$6,),(Q192-CM192)/(Q192-AB192),IF(P192=Desplegables!$B$3,AVERAGE(CM192,CF192)/AB192,CM192/AB192)))))</f>
        <v/>
      </c>
      <c r="CP192" s="97"/>
      <c r="CQ192" s="45" t="str">
        <f t="shared" ref="CQ192" si="95">IF(CP192="","",IF(CP192/SUM(AQ192,AS192)&gt;1,100%,CP192/SUM(AQ192,AS192)))</f>
        <v/>
      </c>
      <c r="CR192" s="546">
        <f>IFERROR((SUMPRODUCT($E$192:$E$220,CN192:CN220)*100%)/SUM($E$192:$E$220),"")</f>
        <v>0</v>
      </c>
      <c r="CS192" s="546">
        <f>IFERROR((SUMPRODUCT($E$192:$E$220,CO192:CO220)*100%)/SUM($E$192:$E$220),"")</f>
        <v>0</v>
      </c>
      <c r="CT192" s="53"/>
      <c r="CU192" s="45" t="str">
        <f>IF(CT192="","",IF(IF(OR(P192=Desplegables!$B$5,P192=Desplegables!$B$6,),(Q192-CT192)/(Q192-T192),CT192/T192)&lt;0,0%,IF(IF(OR(P192=Desplegables!$B$5,P192=Desplegables!$B$6,),(Q192-CT192)/(Q192-T192),CT192/T192)&gt;1,100%,IF(OR(P192=Desplegables!$B$5,P192=Desplegables!$B$6,),(Q192-CT192)/(Q192-T192),CT192/T192))))</f>
        <v/>
      </c>
      <c r="CV192" s="45" t="str">
        <f>IF(CT192="","",IF(IF(OR(P192=Desplegables!$B$5,P192=Desplegables!$B$6,),(Q192-CT192)/(Q192-AB192),IF(P192=Desplegables!$B$3,AVERAGE(CT192,CF192)/AB192,CT192/AB192))&lt;0,0%,IF(IF(OR(P192=Desplegables!$B$5,P192=Desplegables!$B$6,),(Q192-CT192)/(Q192-AB192),IF(P192=Desplegables!$B$3,AVERAGE(CT192,CF192)/AB192,CT192/AB192))&gt;1,100%,IF(OR(P192=Desplegables!$B$5,P192=Desplegables!$B$6,),(Q192-CT192)/(Q192-AB192),IF(P192=Desplegables!$B$3,AVERAGE(CT192,CF192)/AB192,CT192/AB192)))))</f>
        <v/>
      </c>
      <c r="CW192" s="97"/>
      <c r="CX192" s="45" t="str">
        <f t="shared" ref="CX192" si="96">IF(SUM(CP192,CW192)=0,"",IF(SUM(CP192,CW192)/SUM(AQ192,AS192)&gt;1,100%,SUM(CP192,CW192)/SUM(AQ192,AS192)))</f>
        <v/>
      </c>
      <c r="CY192" s="546">
        <f>IFERROR((SUMPRODUCT($E$192:$E$220,CU192:CU220)*100%)/SUM($E$192:$E$220),"")</f>
        <v>0</v>
      </c>
      <c r="CZ192" s="546">
        <f>IFERROR((SUMPRODUCT($E$192:$E$220,CV192:CV220)*100%)/SUM($E$192:$E$220),"")</f>
        <v>0</v>
      </c>
      <c r="DA192" s="53"/>
      <c r="DB192" s="45" t="str">
        <f>IF(DA192="","",IF(IF(OR(P192=Desplegables!$B$5,P192=Desplegables!$B$6,),(Q192-DA192)/(Q192-AB192),IF(P192=Desplegables!$B$3,DA192/U192,DA192/AB192))&lt;0,0%,IF(IF(OR(P192=Desplegables!$B$5,P192=Desplegables!$B$6,),(Q192-DA192)/(Q192-AB192),IF(P192=Desplegables!$B$3,DA192/U192,DA192/AB192))&gt;1,100%,IF(OR(P192=Desplegables!$B$5,P192=Desplegables!$B$6,),(Q192-DA192)/(Q192-AB192),IF(P192=Desplegables!$B$3,DA192/U192,DA192/AB192)))))</f>
        <v/>
      </c>
      <c r="DC192" s="45" t="str">
        <f>IF(DA192="","",IF(IF(OR(P192=Desplegables!$B$5,P192=Desplegables!$B$6,),(Q192-DA192)/(Q192-AB192),DA192/AB192)&lt;0,0%,IF(IF(OR(P192=Desplegables!$B$5,P192=Desplegables!$B$6,),(Q192-DA192)/(Q192-AB192),DA192/AB192)&gt;1,100%,IF(OR(P192=Desplegables!$B$5,P192=Desplegables!$B$6,),(Q192-DA192)/(Q192-AB192),DA192/AB192))))</f>
        <v/>
      </c>
      <c r="DD192" s="97"/>
      <c r="DE192" s="45" t="str">
        <f t="shared" ref="DE192" si="97">IF(DD192="","",IF(DD192/SUM(BS192,BU192)&gt;1,100%,DD192/SUM(BS192,BU192)))</f>
        <v/>
      </c>
      <c r="DF192" s="546">
        <f>IFERROR((SUMPRODUCT($E$192:$E$220,DB192:DB220)*100%)/SUM($E$192:$E$220),"")</f>
        <v>0</v>
      </c>
      <c r="DG192" s="546">
        <f>IFERROR((SUMPRODUCT($E$192:$E$220,DC192:DC220)*100%)/SUM($E$192:$E$220),"")</f>
        <v>0</v>
      </c>
      <c r="DH192" s="53"/>
      <c r="DI192" s="45" t="str">
        <f>IF(DH192="","",IF(IF(OR(P192=Desplegables!$B$5,P192=Desplegables!$B$6,),(Q192-DH192)/(Q192-AB192),IF(P192=Desplegables!$B$3,DH192/U192,DH192/AB192))&lt;0,0%,IF(IF(OR(P192=Desplegables!$B$5,P192=Desplegables!$B$6,),(Q192-DH192)/(Q192-AB192),IF(P192=Desplegables!$B$3,DH192/U192,DH192/AB192))&gt;1,100%,IF(OR(P192=Desplegables!$B$5,P192=Desplegables!$B$6,),(Q192-DH192)/(Q192-AB192),IF(P192=Desplegables!$B$3,DH192/U192,DH192/AB192)))))</f>
        <v/>
      </c>
      <c r="DJ192" s="45" t="str">
        <f>IF(DH192="","",IF(IF(OR(P192=Desplegables!$B$5,P192=Desplegables!$B$6,),(Q192-CT192)/(Q192-AB192),IF(P192=Desplegables!$B$3,AVERAGE(DH192,CT192,CF192)/AB192,DH192/AB192))&lt;0,0%,IF(IF(OR(P192=Desplegables!$B$5,P192=Desplegables!$B$6,),(Q192-CT192)/(Q192-AB192),IF(P192=Desplegables!$B$3,AVERAGE(DH192,CT192,CF192)/AB192,DH192/AB192))&gt;1,100%,IF(OR(P192=Desplegables!$B$5,P192=Desplegables!$B$6,),(Q192-CT192)/(Q192-AB192),IF(P192=Desplegables!$B$3,AVERAGE(DH192,CT192,CF192)/AB192,DH192/AB192)))))</f>
        <v/>
      </c>
      <c r="DK192" s="97"/>
      <c r="DL192" s="45" t="str">
        <f t="shared" ref="DL192" si="98">IF(SUM(DD192,DK192)=0,"",IF(SUM(DD192,DK192)/SUM(BS192,BU192)&gt;1,100%,SUM(DD192,DK192)/SUM(BS192,BU192)))</f>
        <v/>
      </c>
      <c r="DM192" s="546">
        <f>IFERROR((SUMPRODUCT($E$192:$E$220,DI192:DI220)*100%)/SUM($E$192:$E$220),"")</f>
        <v>0</v>
      </c>
      <c r="DN192" s="546">
        <f>IFERROR((SUMPRODUCT($E$192:$E$220,DJ192:DJ220)*100%)/SUM($E$192:$E$220),"")</f>
        <v>0</v>
      </c>
    </row>
    <row r="193" spans="1:118" s="376" customFormat="1" ht="89.25">
      <c r="B193" s="526"/>
      <c r="C193" s="527"/>
      <c r="D193" s="306" t="s">
        <v>624</v>
      </c>
      <c r="E193" s="431">
        <v>8.0000000000000002E-3</v>
      </c>
      <c r="F193" s="438" t="s">
        <v>90</v>
      </c>
      <c r="G193" s="438" t="s">
        <v>617</v>
      </c>
      <c r="H193" s="438" t="s">
        <v>625</v>
      </c>
      <c r="I193" s="316" t="s">
        <v>626</v>
      </c>
      <c r="J193" s="385" t="s">
        <v>627</v>
      </c>
      <c r="K193" s="362">
        <v>44928</v>
      </c>
      <c r="L193" s="156">
        <v>47848</v>
      </c>
      <c r="M193" s="315" t="s">
        <v>97</v>
      </c>
      <c r="N193" s="316" t="s">
        <v>628</v>
      </c>
      <c r="O193" s="316" t="s">
        <v>629</v>
      </c>
      <c r="P193" s="316" t="s">
        <v>87</v>
      </c>
      <c r="Q193" s="415">
        <v>0</v>
      </c>
      <c r="R193" s="216">
        <v>2021</v>
      </c>
      <c r="S193" s="194"/>
      <c r="T193" s="194">
        <v>10</v>
      </c>
      <c r="U193" s="194">
        <v>20</v>
      </c>
      <c r="V193" s="194">
        <v>30</v>
      </c>
      <c r="W193" s="194">
        <v>40</v>
      </c>
      <c r="X193" s="194">
        <v>50</v>
      </c>
      <c r="Y193" s="194">
        <v>60</v>
      </c>
      <c r="Z193" s="194">
        <v>70</v>
      </c>
      <c r="AA193" s="194">
        <v>80</v>
      </c>
      <c r="AB193" s="194">
        <v>80</v>
      </c>
      <c r="AC193" s="328"/>
      <c r="AD193" s="328">
        <v>70.5</v>
      </c>
      <c r="AE193" s="328">
        <v>70.400000000000006</v>
      </c>
      <c r="AF193" s="328">
        <v>78.599999999999994</v>
      </c>
      <c r="AG193" s="328">
        <v>83</v>
      </c>
      <c r="AH193" s="328">
        <v>87.7</v>
      </c>
      <c r="AI193" s="328">
        <v>92.6</v>
      </c>
      <c r="AJ193" s="328">
        <v>97.8</v>
      </c>
      <c r="AK193" s="328">
        <v>103.3</v>
      </c>
      <c r="AL193" s="387">
        <f t="shared" si="92"/>
        <v>683.89999999999986</v>
      </c>
      <c r="AM193" s="190"/>
      <c r="AN193" s="194"/>
      <c r="AO193" s="190"/>
      <c r="AP193" s="194"/>
      <c r="AQ193" s="240">
        <v>70.5</v>
      </c>
      <c r="AR193" s="194" t="s">
        <v>114</v>
      </c>
      <c r="AS193" s="190"/>
      <c r="AT193" s="194"/>
      <c r="AU193" s="240">
        <v>70.400000000000006</v>
      </c>
      <c r="AV193" s="194" t="s">
        <v>114</v>
      </c>
      <c r="AW193" s="321"/>
      <c r="AX193" s="194"/>
      <c r="AY193" s="240">
        <v>78.599999999999994</v>
      </c>
      <c r="AZ193" s="194" t="s">
        <v>114</v>
      </c>
      <c r="BA193" s="321"/>
      <c r="BB193" s="194"/>
      <c r="BC193" s="240">
        <v>83</v>
      </c>
      <c r="BD193" s="194" t="s">
        <v>114</v>
      </c>
      <c r="BE193" s="321"/>
      <c r="BF193" s="194"/>
      <c r="BG193" s="240">
        <v>87.7</v>
      </c>
      <c r="BH193" s="194" t="s">
        <v>114</v>
      </c>
      <c r="BI193" s="321"/>
      <c r="BJ193" s="194"/>
      <c r="BK193" s="240">
        <v>92.6</v>
      </c>
      <c r="BL193" s="194" t="s">
        <v>114</v>
      </c>
      <c r="BM193" s="321"/>
      <c r="BN193" s="194"/>
      <c r="BO193" s="240">
        <v>97.8</v>
      </c>
      <c r="BP193" s="194" t="s">
        <v>114</v>
      </c>
      <c r="BQ193" s="321"/>
      <c r="BR193" s="194"/>
      <c r="BS193" s="240">
        <v>103.3</v>
      </c>
      <c r="BT193" s="194" t="s">
        <v>114</v>
      </c>
      <c r="BU193" s="190"/>
      <c r="BV193" s="194"/>
      <c r="BW193" s="97">
        <f t="shared" si="90"/>
        <v>683.89999999999986</v>
      </c>
      <c r="BX193" s="384"/>
      <c r="BY193" s="53"/>
      <c r="BZ193" s="45"/>
      <c r="CA193" s="45"/>
      <c r="CB193" s="97"/>
      <c r="CC193" s="45"/>
      <c r="CD193" s="546"/>
      <c r="CE193" s="546"/>
      <c r="CF193" s="53"/>
      <c r="CG193" s="45"/>
      <c r="CH193" s="45"/>
      <c r="CI193" s="97"/>
      <c r="CJ193" s="45"/>
      <c r="CK193" s="546"/>
      <c r="CL193" s="546"/>
      <c r="CM193" s="53"/>
      <c r="CN193" s="45"/>
      <c r="CO193" s="45"/>
      <c r="CP193" s="97"/>
      <c r="CQ193" s="45"/>
      <c r="CR193" s="546"/>
      <c r="CS193" s="546"/>
      <c r="CT193" s="53"/>
      <c r="CU193" s="45"/>
      <c r="CV193" s="45"/>
      <c r="CW193" s="97"/>
      <c r="CX193" s="45"/>
      <c r="CY193" s="546"/>
      <c r="CZ193" s="546"/>
      <c r="DA193" s="53"/>
      <c r="DB193" s="45"/>
      <c r="DC193" s="45"/>
      <c r="DD193" s="97"/>
      <c r="DE193" s="45"/>
      <c r="DF193" s="546"/>
      <c r="DG193" s="546"/>
      <c r="DH193" s="53"/>
      <c r="DI193" s="45"/>
      <c r="DJ193" s="45"/>
      <c r="DK193" s="97"/>
      <c r="DL193" s="45"/>
      <c r="DM193" s="546"/>
      <c r="DN193" s="546"/>
    </row>
    <row r="194" spans="1:118" s="376" customFormat="1" ht="102">
      <c r="B194" s="526"/>
      <c r="C194" s="527"/>
      <c r="D194" s="306" t="s">
        <v>938</v>
      </c>
      <c r="E194" s="431">
        <v>8.0000000000000002E-3</v>
      </c>
      <c r="F194" s="438" t="s">
        <v>90</v>
      </c>
      <c r="G194" s="438" t="s">
        <v>137</v>
      </c>
      <c r="H194" s="438" t="s">
        <v>656</v>
      </c>
      <c r="I194" s="438" t="s">
        <v>939</v>
      </c>
      <c r="J194" s="385" t="s">
        <v>140</v>
      </c>
      <c r="K194" s="361">
        <v>45047</v>
      </c>
      <c r="L194" s="192">
        <v>45291</v>
      </c>
      <c r="M194" s="438" t="s">
        <v>97</v>
      </c>
      <c r="N194" s="438" t="s">
        <v>630</v>
      </c>
      <c r="O194" s="438" t="s">
        <v>631</v>
      </c>
      <c r="P194" s="315" t="s">
        <v>87</v>
      </c>
      <c r="Q194" s="45">
        <v>0</v>
      </c>
      <c r="R194" s="244">
        <v>2021</v>
      </c>
      <c r="S194" s="194"/>
      <c r="T194" s="45">
        <v>1</v>
      </c>
      <c r="U194" s="194"/>
      <c r="V194" s="194"/>
      <c r="W194" s="194"/>
      <c r="X194" s="194"/>
      <c r="Y194" s="194"/>
      <c r="Z194" s="194"/>
      <c r="AA194" s="194"/>
      <c r="AB194" s="45">
        <v>1</v>
      </c>
      <c r="AC194" s="328"/>
      <c r="AD194" s="328"/>
      <c r="AE194" s="328"/>
      <c r="AF194" s="328"/>
      <c r="AG194" s="328"/>
      <c r="AH194" s="328"/>
      <c r="AI194" s="328"/>
      <c r="AJ194" s="328"/>
      <c r="AK194" s="328"/>
      <c r="AL194" s="387" t="str">
        <f t="shared" si="92"/>
        <v/>
      </c>
      <c r="AM194" s="190"/>
      <c r="AN194" s="194"/>
      <c r="AO194" s="190"/>
      <c r="AP194" s="194"/>
      <c r="AQ194" s="190"/>
      <c r="AR194" s="194" t="s">
        <v>88</v>
      </c>
      <c r="AS194" s="190"/>
      <c r="AT194" s="194"/>
      <c r="AU194" s="321"/>
      <c r="AV194" s="194"/>
      <c r="AW194" s="321"/>
      <c r="AX194" s="194"/>
      <c r="AY194" s="321"/>
      <c r="AZ194" s="194"/>
      <c r="BA194" s="321"/>
      <c r="BB194" s="194"/>
      <c r="BC194" s="321"/>
      <c r="BD194" s="194"/>
      <c r="BE194" s="321"/>
      <c r="BF194" s="194"/>
      <c r="BG194" s="321"/>
      <c r="BH194" s="194"/>
      <c r="BI194" s="321"/>
      <c r="BJ194" s="194"/>
      <c r="BK194" s="321"/>
      <c r="BL194" s="194"/>
      <c r="BM194" s="321"/>
      <c r="BN194" s="194"/>
      <c r="BO194" s="321"/>
      <c r="BP194" s="194"/>
      <c r="BQ194" s="321"/>
      <c r="BR194" s="194"/>
      <c r="BS194" s="190"/>
      <c r="BT194" s="194"/>
      <c r="BU194" s="190"/>
      <c r="BV194" s="194"/>
      <c r="BW194" s="97" t="str">
        <f t="shared" si="90"/>
        <v/>
      </c>
      <c r="BX194" s="384"/>
      <c r="BY194" s="53"/>
      <c r="BZ194" s="45"/>
      <c r="CA194" s="45"/>
      <c r="CB194" s="97"/>
      <c r="CC194" s="45"/>
      <c r="CD194" s="546"/>
      <c r="CE194" s="546"/>
      <c r="CF194" s="53"/>
      <c r="CG194" s="45"/>
      <c r="CH194" s="45"/>
      <c r="CI194" s="97"/>
      <c r="CJ194" s="45"/>
      <c r="CK194" s="546"/>
      <c r="CL194" s="546"/>
      <c r="CM194" s="53"/>
      <c r="CN194" s="45"/>
      <c r="CO194" s="45"/>
      <c r="CP194" s="97"/>
      <c r="CQ194" s="45"/>
      <c r="CR194" s="546"/>
      <c r="CS194" s="546"/>
      <c r="CT194" s="53"/>
      <c r="CU194" s="45"/>
      <c r="CV194" s="45"/>
      <c r="CW194" s="97"/>
      <c r="CX194" s="45"/>
      <c r="CY194" s="546"/>
      <c r="CZ194" s="546"/>
      <c r="DA194" s="53"/>
      <c r="DB194" s="45"/>
      <c r="DC194" s="45"/>
      <c r="DD194" s="97"/>
      <c r="DE194" s="45"/>
      <c r="DF194" s="546"/>
      <c r="DG194" s="546"/>
      <c r="DH194" s="53"/>
      <c r="DI194" s="45"/>
      <c r="DJ194" s="45"/>
      <c r="DK194" s="97"/>
      <c r="DL194" s="45"/>
      <c r="DM194" s="546"/>
      <c r="DN194" s="546"/>
    </row>
    <row r="195" spans="1:118" s="376" customFormat="1" ht="114.75">
      <c r="B195" s="526"/>
      <c r="C195" s="527"/>
      <c r="D195" s="346" t="s">
        <v>950</v>
      </c>
      <c r="E195" s="431">
        <v>8.9999999999999993E-3</v>
      </c>
      <c r="F195" s="438" t="s">
        <v>90</v>
      </c>
      <c r="G195" s="438" t="s">
        <v>137</v>
      </c>
      <c r="H195" s="438" t="s">
        <v>138</v>
      </c>
      <c r="I195" s="438" t="s">
        <v>139</v>
      </c>
      <c r="J195" s="385" t="s">
        <v>140</v>
      </c>
      <c r="K195" s="361">
        <v>44713</v>
      </c>
      <c r="L195" s="156">
        <v>47848</v>
      </c>
      <c r="M195" s="315" t="s">
        <v>97</v>
      </c>
      <c r="N195" s="315" t="s">
        <v>632</v>
      </c>
      <c r="O195" s="315" t="s">
        <v>1138</v>
      </c>
      <c r="P195" s="316" t="s">
        <v>87</v>
      </c>
      <c r="Q195" s="45">
        <v>0.1</v>
      </c>
      <c r="R195" s="216">
        <v>2021</v>
      </c>
      <c r="S195" s="359">
        <v>0.25</v>
      </c>
      <c r="T195" s="359">
        <v>0.4</v>
      </c>
      <c r="U195" s="359">
        <v>0.5</v>
      </c>
      <c r="V195" s="359">
        <v>0.6</v>
      </c>
      <c r="W195" s="359">
        <v>0.7</v>
      </c>
      <c r="X195" s="359">
        <v>0.8</v>
      </c>
      <c r="Y195" s="359">
        <v>0.85</v>
      </c>
      <c r="Z195" s="359">
        <v>0.9</v>
      </c>
      <c r="AA195" s="359">
        <v>1</v>
      </c>
      <c r="AB195" s="194">
        <v>100</v>
      </c>
      <c r="AC195" s="333">
        <v>188</v>
      </c>
      <c r="AD195" s="462">
        <v>194</v>
      </c>
      <c r="AE195" s="462">
        <v>200</v>
      </c>
      <c r="AF195" s="462">
        <v>206</v>
      </c>
      <c r="AG195" s="462">
        <v>212</v>
      </c>
      <c r="AH195" s="462">
        <v>218</v>
      </c>
      <c r="AI195" s="462">
        <v>224</v>
      </c>
      <c r="AJ195" s="462">
        <v>230</v>
      </c>
      <c r="AK195" s="462">
        <v>236</v>
      </c>
      <c r="AL195" s="387">
        <f t="shared" si="92"/>
        <v>1908</v>
      </c>
      <c r="AM195" s="461">
        <v>188</v>
      </c>
      <c r="AN195" s="316" t="s">
        <v>126</v>
      </c>
      <c r="AO195" s="316" t="s">
        <v>81</v>
      </c>
      <c r="AP195" s="316" t="s">
        <v>81</v>
      </c>
      <c r="AQ195" s="473">
        <v>194</v>
      </c>
      <c r="AR195" s="316" t="s">
        <v>126</v>
      </c>
      <c r="AS195" s="316" t="s">
        <v>81</v>
      </c>
      <c r="AT195" s="316" t="s">
        <v>81</v>
      </c>
      <c r="AU195" s="473">
        <v>200</v>
      </c>
      <c r="AV195" s="316" t="s">
        <v>126</v>
      </c>
      <c r="AW195" s="316" t="s">
        <v>81</v>
      </c>
      <c r="AX195" s="316" t="s">
        <v>81</v>
      </c>
      <c r="AY195" s="473">
        <v>206</v>
      </c>
      <c r="AZ195" s="316" t="s">
        <v>126</v>
      </c>
      <c r="BA195" s="316" t="s">
        <v>81</v>
      </c>
      <c r="BB195" s="316" t="s">
        <v>81</v>
      </c>
      <c r="BC195" s="473">
        <v>212</v>
      </c>
      <c r="BD195" s="316" t="s">
        <v>126</v>
      </c>
      <c r="BE195" s="316" t="s">
        <v>81</v>
      </c>
      <c r="BF195" s="316" t="s">
        <v>81</v>
      </c>
      <c r="BG195" s="473">
        <v>218</v>
      </c>
      <c r="BH195" s="316" t="s">
        <v>126</v>
      </c>
      <c r="BI195" s="316" t="s">
        <v>81</v>
      </c>
      <c r="BJ195" s="316" t="s">
        <v>81</v>
      </c>
      <c r="BK195" s="473">
        <v>224</v>
      </c>
      <c r="BL195" s="316" t="s">
        <v>126</v>
      </c>
      <c r="BM195" s="316" t="s">
        <v>81</v>
      </c>
      <c r="BN195" s="316" t="s">
        <v>81</v>
      </c>
      <c r="BO195" s="473">
        <v>230</v>
      </c>
      <c r="BP195" s="316" t="s">
        <v>126</v>
      </c>
      <c r="BQ195" s="316" t="s">
        <v>81</v>
      </c>
      <c r="BR195" s="316" t="s">
        <v>81</v>
      </c>
      <c r="BS195" s="473">
        <v>236</v>
      </c>
      <c r="BT195" s="316" t="s">
        <v>126</v>
      </c>
      <c r="BU195" s="190"/>
      <c r="BV195" s="194"/>
      <c r="BW195" s="97">
        <f t="shared" si="90"/>
        <v>1908</v>
      </c>
      <c r="BX195" s="384"/>
      <c r="BY195" s="53"/>
      <c r="BZ195" s="45"/>
      <c r="CA195" s="45"/>
      <c r="CB195" s="97"/>
      <c r="CC195" s="45"/>
      <c r="CD195" s="546"/>
      <c r="CE195" s="546"/>
      <c r="CF195" s="53"/>
      <c r="CG195" s="45"/>
      <c r="CH195" s="45"/>
      <c r="CI195" s="97"/>
      <c r="CJ195" s="45"/>
      <c r="CK195" s="546"/>
      <c r="CL195" s="546"/>
      <c r="CM195" s="53"/>
      <c r="CN195" s="45"/>
      <c r="CO195" s="45"/>
      <c r="CP195" s="97"/>
      <c r="CQ195" s="45"/>
      <c r="CR195" s="546"/>
      <c r="CS195" s="546"/>
      <c r="CT195" s="53"/>
      <c r="CU195" s="45"/>
      <c r="CV195" s="45"/>
      <c r="CW195" s="97"/>
      <c r="CX195" s="45"/>
      <c r="CY195" s="546"/>
      <c r="CZ195" s="546"/>
      <c r="DA195" s="53"/>
      <c r="DB195" s="45"/>
      <c r="DC195" s="45"/>
      <c r="DD195" s="97"/>
      <c r="DE195" s="45"/>
      <c r="DF195" s="546"/>
      <c r="DG195" s="546"/>
      <c r="DH195" s="53"/>
      <c r="DI195" s="45"/>
      <c r="DJ195" s="45"/>
      <c r="DK195" s="97"/>
      <c r="DL195" s="45"/>
      <c r="DM195" s="546"/>
      <c r="DN195" s="546"/>
    </row>
    <row r="196" spans="1:118" s="376" customFormat="1" ht="51">
      <c r="B196" s="526"/>
      <c r="C196" s="527"/>
      <c r="D196" s="346" t="s">
        <v>941</v>
      </c>
      <c r="E196" s="431">
        <v>1E-3</v>
      </c>
      <c r="F196" s="438" t="s">
        <v>90</v>
      </c>
      <c r="G196" s="438" t="s">
        <v>137</v>
      </c>
      <c r="H196" s="438" t="s">
        <v>138</v>
      </c>
      <c r="I196" s="438" t="s">
        <v>139</v>
      </c>
      <c r="J196" s="385" t="s">
        <v>140</v>
      </c>
      <c r="K196" s="362">
        <v>44713</v>
      </c>
      <c r="L196" s="362">
        <v>46387</v>
      </c>
      <c r="M196" s="316" t="s">
        <v>78</v>
      </c>
      <c r="N196" s="316" t="s">
        <v>1140</v>
      </c>
      <c r="O196" s="316" t="s">
        <v>1139</v>
      </c>
      <c r="P196" s="316" t="s">
        <v>87</v>
      </c>
      <c r="Q196" s="194">
        <v>3</v>
      </c>
      <c r="R196" s="216">
        <v>2021</v>
      </c>
      <c r="S196" s="194">
        <v>10</v>
      </c>
      <c r="T196" s="194">
        <v>20</v>
      </c>
      <c r="U196" s="194">
        <v>30</v>
      </c>
      <c r="V196" s="194">
        <v>40</v>
      </c>
      <c r="W196" s="194">
        <v>50</v>
      </c>
      <c r="X196" s="194"/>
      <c r="Y196" s="194"/>
      <c r="Z196" s="194"/>
      <c r="AA196" s="194"/>
      <c r="AB196" s="194">
        <v>50</v>
      </c>
      <c r="AC196" s="328">
        <v>235.7</v>
      </c>
      <c r="AD196" s="328"/>
      <c r="AE196" s="328"/>
      <c r="AF196" s="328"/>
      <c r="AG196" s="328"/>
      <c r="AH196" s="328"/>
      <c r="AI196" s="328"/>
      <c r="AJ196" s="328"/>
      <c r="AK196" s="328"/>
      <c r="AL196" s="387">
        <f t="shared" si="92"/>
        <v>235.7</v>
      </c>
      <c r="AM196" s="190">
        <v>236</v>
      </c>
      <c r="AN196" s="194" t="s">
        <v>189</v>
      </c>
      <c r="AO196" s="190"/>
      <c r="AP196" s="194"/>
      <c r="AQ196" s="240"/>
      <c r="AR196" s="316" t="s">
        <v>126</v>
      </c>
      <c r="AS196" s="190"/>
      <c r="AT196" s="194"/>
      <c r="AU196" s="240"/>
      <c r="AV196" s="316" t="s">
        <v>126</v>
      </c>
      <c r="AW196" s="321"/>
      <c r="AX196" s="194"/>
      <c r="AY196" s="240"/>
      <c r="AZ196" s="316" t="s">
        <v>126</v>
      </c>
      <c r="BA196" s="321"/>
      <c r="BB196" s="194"/>
      <c r="BC196" s="240"/>
      <c r="BD196" s="316" t="s">
        <v>126</v>
      </c>
      <c r="BE196" s="321"/>
      <c r="BF196" s="194"/>
      <c r="BG196" s="240"/>
      <c r="BH196" s="316"/>
      <c r="BI196" s="321"/>
      <c r="BJ196" s="194"/>
      <c r="BK196" s="240"/>
      <c r="BL196" s="194"/>
      <c r="BM196" s="321"/>
      <c r="BN196" s="194"/>
      <c r="BO196" s="240"/>
      <c r="BP196" s="194"/>
      <c r="BQ196" s="321"/>
      <c r="BR196" s="194"/>
      <c r="BS196" s="240"/>
      <c r="BT196" s="194"/>
      <c r="BU196" s="190"/>
      <c r="BV196" s="194"/>
      <c r="BW196" s="97">
        <f t="shared" si="90"/>
        <v>236</v>
      </c>
      <c r="BX196" s="384"/>
      <c r="BY196" s="53"/>
      <c r="BZ196" s="45"/>
      <c r="CA196" s="45"/>
      <c r="CB196" s="97"/>
      <c r="CC196" s="45"/>
      <c r="CD196" s="546"/>
      <c r="CE196" s="546"/>
      <c r="CF196" s="53"/>
      <c r="CG196" s="45"/>
      <c r="CH196" s="45"/>
      <c r="CI196" s="97"/>
      <c r="CJ196" s="45"/>
      <c r="CK196" s="546"/>
      <c r="CL196" s="546"/>
      <c r="CM196" s="53"/>
      <c r="CN196" s="45"/>
      <c r="CO196" s="45"/>
      <c r="CP196" s="97"/>
      <c r="CQ196" s="45"/>
      <c r="CR196" s="546"/>
      <c r="CS196" s="546"/>
      <c r="CT196" s="53"/>
      <c r="CU196" s="45"/>
      <c r="CV196" s="45"/>
      <c r="CW196" s="97"/>
      <c r="CX196" s="45"/>
      <c r="CY196" s="546"/>
      <c r="CZ196" s="546"/>
      <c r="DA196" s="53"/>
      <c r="DB196" s="45"/>
      <c r="DC196" s="45"/>
      <c r="DD196" s="97"/>
      <c r="DE196" s="45"/>
      <c r="DF196" s="546"/>
      <c r="DG196" s="546"/>
      <c r="DH196" s="53"/>
      <c r="DI196" s="45"/>
      <c r="DJ196" s="45"/>
      <c r="DK196" s="97"/>
      <c r="DL196" s="45"/>
      <c r="DM196" s="546"/>
      <c r="DN196" s="546"/>
    </row>
    <row r="197" spans="1:118" s="376" customFormat="1" ht="102">
      <c r="B197" s="526"/>
      <c r="C197" s="527"/>
      <c r="D197" s="306" t="s">
        <v>943</v>
      </c>
      <c r="E197" s="431">
        <v>5.0000000000000001E-3</v>
      </c>
      <c r="F197" s="438" t="s">
        <v>90</v>
      </c>
      <c r="G197" s="438" t="s">
        <v>152</v>
      </c>
      <c r="H197" s="438" t="s">
        <v>633</v>
      </c>
      <c r="I197" s="438" t="s">
        <v>634</v>
      </c>
      <c r="J197" s="385" t="s">
        <v>635</v>
      </c>
      <c r="K197" s="361">
        <v>44958</v>
      </c>
      <c r="L197" s="361">
        <v>46387</v>
      </c>
      <c r="M197" s="315" t="s">
        <v>78</v>
      </c>
      <c r="N197" s="315" t="s">
        <v>636</v>
      </c>
      <c r="O197" s="316" t="s">
        <v>637</v>
      </c>
      <c r="P197" s="315" t="s">
        <v>87</v>
      </c>
      <c r="Q197" s="45">
        <v>0</v>
      </c>
      <c r="R197" s="216">
        <v>2022</v>
      </c>
      <c r="S197" s="195"/>
      <c r="T197" s="45">
        <v>0.4</v>
      </c>
      <c r="U197" s="45">
        <v>0.55000000000000004</v>
      </c>
      <c r="V197" s="45">
        <v>0.8</v>
      </c>
      <c r="W197" s="45">
        <v>1</v>
      </c>
      <c r="X197" s="195"/>
      <c r="Y197" s="195"/>
      <c r="Z197" s="195"/>
      <c r="AA197" s="195"/>
      <c r="AB197" s="45">
        <v>1</v>
      </c>
      <c r="AC197" s="328"/>
      <c r="AD197" s="328">
        <v>36</v>
      </c>
      <c r="AE197" s="328">
        <v>42</v>
      </c>
      <c r="AF197" s="328"/>
      <c r="AG197" s="328"/>
      <c r="AH197" s="328"/>
      <c r="AI197" s="328"/>
      <c r="AJ197" s="328"/>
      <c r="AK197" s="328"/>
      <c r="AL197" s="387">
        <f t="shared" si="92"/>
        <v>78</v>
      </c>
      <c r="AM197" s="190"/>
      <c r="AN197" s="221"/>
      <c r="AO197" s="194"/>
      <c r="AP197" s="194"/>
      <c r="AQ197" s="190">
        <f>+AD197</f>
        <v>36</v>
      </c>
      <c r="AR197" s="194" t="s">
        <v>88</v>
      </c>
      <c r="AS197" s="190"/>
      <c r="AT197" s="194"/>
      <c r="AU197" s="321">
        <f>+AE197</f>
        <v>42</v>
      </c>
      <c r="AV197" s="194" t="s">
        <v>88</v>
      </c>
      <c r="AW197" s="321"/>
      <c r="AX197" s="194"/>
      <c r="AY197" s="321"/>
      <c r="AZ197" s="194" t="s">
        <v>88</v>
      </c>
      <c r="BA197" s="321"/>
      <c r="BB197" s="194"/>
      <c r="BC197" s="321"/>
      <c r="BD197" s="194" t="s">
        <v>88</v>
      </c>
      <c r="BE197" s="321"/>
      <c r="BF197" s="194"/>
      <c r="BG197" s="321"/>
      <c r="BH197" s="194"/>
      <c r="BI197" s="321"/>
      <c r="BJ197" s="194"/>
      <c r="BK197" s="321"/>
      <c r="BL197" s="194"/>
      <c r="BM197" s="321"/>
      <c r="BN197" s="194"/>
      <c r="BO197" s="321"/>
      <c r="BP197" s="194"/>
      <c r="BQ197" s="321"/>
      <c r="BR197" s="194"/>
      <c r="BS197" s="190"/>
      <c r="BT197" s="194"/>
      <c r="BU197" s="190"/>
      <c r="BV197" s="194"/>
      <c r="BW197" s="97">
        <f t="shared" si="90"/>
        <v>78</v>
      </c>
      <c r="BX197" s="384"/>
      <c r="BY197" s="53"/>
      <c r="BZ197" s="45"/>
      <c r="CA197" s="45"/>
      <c r="CB197" s="97"/>
      <c r="CC197" s="45"/>
      <c r="CD197" s="546"/>
      <c r="CE197" s="546"/>
      <c r="CF197" s="53"/>
      <c r="CG197" s="45"/>
      <c r="CH197" s="45"/>
      <c r="CI197" s="97"/>
      <c r="CJ197" s="45"/>
      <c r="CK197" s="546"/>
      <c r="CL197" s="546"/>
      <c r="CM197" s="53"/>
      <c r="CN197" s="45"/>
      <c r="CO197" s="45"/>
      <c r="CP197" s="97"/>
      <c r="CQ197" s="45"/>
      <c r="CR197" s="546"/>
      <c r="CS197" s="546"/>
      <c r="CT197" s="53"/>
      <c r="CU197" s="45"/>
      <c r="CV197" s="45"/>
      <c r="CW197" s="97"/>
      <c r="CX197" s="45"/>
      <c r="CY197" s="546"/>
      <c r="CZ197" s="546"/>
      <c r="DA197" s="53"/>
      <c r="DB197" s="45"/>
      <c r="DC197" s="45"/>
      <c r="DD197" s="97"/>
      <c r="DE197" s="45"/>
      <c r="DF197" s="546"/>
      <c r="DG197" s="546"/>
      <c r="DH197" s="53"/>
      <c r="DI197" s="45"/>
      <c r="DJ197" s="45"/>
      <c r="DK197" s="97"/>
      <c r="DL197" s="45"/>
      <c r="DM197" s="546"/>
      <c r="DN197" s="546"/>
    </row>
    <row r="198" spans="1:118" s="343" customFormat="1" ht="165.75">
      <c r="B198" s="526"/>
      <c r="C198" s="527"/>
      <c r="D198" s="416" t="s">
        <v>1141</v>
      </c>
      <c r="E198" s="393">
        <v>0.01</v>
      </c>
      <c r="F198" s="316" t="s">
        <v>90</v>
      </c>
      <c r="G198" s="316" t="s">
        <v>640</v>
      </c>
      <c r="H198" s="316" t="s">
        <v>641</v>
      </c>
      <c r="I198" s="316" t="s">
        <v>642</v>
      </c>
      <c r="J198" s="385" t="s">
        <v>638</v>
      </c>
      <c r="K198" s="362">
        <v>44958</v>
      </c>
      <c r="L198" s="362">
        <v>46722</v>
      </c>
      <c r="M198" s="316" t="s">
        <v>78</v>
      </c>
      <c r="N198" s="316" t="s">
        <v>639</v>
      </c>
      <c r="O198" s="316" t="s">
        <v>1142</v>
      </c>
      <c r="P198" s="316" t="s">
        <v>87</v>
      </c>
      <c r="Q198" s="367">
        <v>0</v>
      </c>
      <c r="R198" s="316">
        <v>2021</v>
      </c>
      <c r="S198" s="316" t="s">
        <v>81</v>
      </c>
      <c r="T198" s="367">
        <v>0.3</v>
      </c>
      <c r="U198" s="367">
        <v>0.5</v>
      </c>
      <c r="V198" s="367">
        <v>0.7</v>
      </c>
      <c r="W198" s="367">
        <v>0.85</v>
      </c>
      <c r="X198" s="367">
        <v>1</v>
      </c>
      <c r="Y198" s="316" t="s">
        <v>81</v>
      </c>
      <c r="Z198" s="316" t="s">
        <v>81</v>
      </c>
      <c r="AA198" s="316" t="s">
        <v>81</v>
      </c>
      <c r="AB198" s="367">
        <v>1</v>
      </c>
      <c r="AC198" s="328" t="s">
        <v>81</v>
      </c>
      <c r="AD198" s="328">
        <v>100</v>
      </c>
      <c r="AE198" s="328" t="s">
        <v>81</v>
      </c>
      <c r="AF198" s="328" t="s">
        <v>81</v>
      </c>
      <c r="AG198" s="328" t="s">
        <v>81</v>
      </c>
      <c r="AH198" s="328" t="s">
        <v>81</v>
      </c>
      <c r="AI198" s="328" t="s">
        <v>81</v>
      </c>
      <c r="AJ198" s="328" t="s">
        <v>81</v>
      </c>
      <c r="AK198" s="479" t="s">
        <v>81</v>
      </c>
      <c r="AL198" s="467">
        <f t="shared" si="92"/>
        <v>100</v>
      </c>
      <c r="AM198" s="316" t="s">
        <v>81</v>
      </c>
      <c r="AN198" s="316" t="s">
        <v>81</v>
      </c>
      <c r="AO198" s="316" t="s">
        <v>81</v>
      </c>
      <c r="AP198" s="316" t="s">
        <v>81</v>
      </c>
      <c r="AQ198" s="480">
        <v>100</v>
      </c>
      <c r="AR198" s="316" t="s">
        <v>189</v>
      </c>
      <c r="AS198" s="316" t="s">
        <v>81</v>
      </c>
      <c r="AT198" s="316" t="s">
        <v>81</v>
      </c>
      <c r="AU198" s="316" t="s">
        <v>81</v>
      </c>
      <c r="AV198" s="316" t="s">
        <v>126</v>
      </c>
      <c r="AW198" s="316" t="s">
        <v>81</v>
      </c>
      <c r="AX198" s="316" t="s">
        <v>81</v>
      </c>
      <c r="AY198" s="316" t="s">
        <v>81</v>
      </c>
      <c r="AZ198" s="316" t="s">
        <v>126</v>
      </c>
      <c r="BA198" s="316" t="s">
        <v>81</v>
      </c>
      <c r="BB198" s="316" t="s">
        <v>81</v>
      </c>
      <c r="BC198" s="316" t="s">
        <v>81</v>
      </c>
      <c r="BD198" s="316" t="s">
        <v>126</v>
      </c>
      <c r="BE198" s="316" t="s">
        <v>81</v>
      </c>
      <c r="BF198" s="316" t="s">
        <v>81</v>
      </c>
      <c r="BG198" s="316" t="s">
        <v>81</v>
      </c>
      <c r="BH198" s="316" t="s">
        <v>126</v>
      </c>
      <c r="BI198" s="316" t="s">
        <v>81</v>
      </c>
      <c r="BJ198" s="316" t="s">
        <v>81</v>
      </c>
      <c r="BK198" s="316" t="s">
        <v>81</v>
      </c>
      <c r="BL198" s="316" t="s">
        <v>81</v>
      </c>
      <c r="BM198" s="316" t="s">
        <v>81</v>
      </c>
      <c r="BN198" s="316" t="s">
        <v>81</v>
      </c>
      <c r="BO198" s="316" t="s">
        <v>81</v>
      </c>
      <c r="BP198" s="316" t="s">
        <v>81</v>
      </c>
      <c r="BQ198" s="316" t="s">
        <v>81</v>
      </c>
      <c r="BR198" s="316" t="s">
        <v>81</v>
      </c>
      <c r="BS198" s="316" t="s">
        <v>81</v>
      </c>
      <c r="BT198" s="316" t="s">
        <v>81</v>
      </c>
      <c r="BU198" s="316" t="s">
        <v>81</v>
      </c>
      <c r="BV198" s="316" t="s">
        <v>81</v>
      </c>
      <c r="BW198" s="97">
        <f t="shared" si="90"/>
        <v>100</v>
      </c>
      <c r="BX198" s="451">
        <v>1.1000000000000001</v>
      </c>
      <c r="BY198" s="342" t="s">
        <v>81</v>
      </c>
      <c r="BZ198" s="342" t="s">
        <v>81</v>
      </c>
      <c r="CA198" s="342" t="s">
        <v>81</v>
      </c>
      <c r="CB198" s="342" t="s">
        <v>81</v>
      </c>
      <c r="CC198" s="342" t="s">
        <v>81</v>
      </c>
      <c r="CD198" s="546"/>
      <c r="CE198" s="546"/>
      <c r="CF198" s="53"/>
      <c r="CG198" s="45"/>
      <c r="CH198" s="45"/>
      <c r="CI198" s="97"/>
      <c r="CJ198" s="45"/>
      <c r="CK198" s="546"/>
      <c r="CL198" s="546"/>
      <c r="CM198" s="53"/>
      <c r="CN198" s="45"/>
      <c r="CO198" s="45"/>
      <c r="CP198" s="97"/>
      <c r="CQ198" s="45"/>
      <c r="CR198" s="546"/>
      <c r="CS198" s="546"/>
      <c r="CT198" s="53"/>
      <c r="CU198" s="45"/>
      <c r="CV198" s="45"/>
      <c r="CW198" s="97"/>
      <c r="CX198" s="45"/>
      <c r="CY198" s="546"/>
      <c r="CZ198" s="546"/>
      <c r="DA198" s="53"/>
      <c r="DB198" s="45"/>
      <c r="DC198" s="45"/>
      <c r="DD198" s="97"/>
      <c r="DE198" s="45"/>
      <c r="DF198" s="546"/>
      <c r="DG198" s="546"/>
      <c r="DH198" s="53"/>
      <c r="DI198" s="45"/>
      <c r="DJ198" s="45"/>
      <c r="DK198" s="97"/>
      <c r="DL198" s="45"/>
      <c r="DM198" s="546"/>
      <c r="DN198" s="546"/>
    </row>
    <row r="199" spans="1:118" s="343" customFormat="1" ht="51">
      <c r="B199" s="526"/>
      <c r="C199" s="527"/>
      <c r="D199" s="416" t="s">
        <v>944</v>
      </c>
      <c r="E199" s="393">
        <v>0.01</v>
      </c>
      <c r="F199" s="316" t="s">
        <v>90</v>
      </c>
      <c r="G199" s="316" t="s">
        <v>640</v>
      </c>
      <c r="H199" s="316" t="s">
        <v>641</v>
      </c>
      <c r="I199" s="316" t="s">
        <v>642</v>
      </c>
      <c r="J199" s="385" t="s">
        <v>638</v>
      </c>
      <c r="K199" s="362">
        <v>44713</v>
      </c>
      <c r="L199" s="362">
        <v>47818</v>
      </c>
      <c r="M199" s="316" t="s">
        <v>78</v>
      </c>
      <c r="N199" s="316" t="s">
        <v>643</v>
      </c>
      <c r="O199" s="316" t="s">
        <v>644</v>
      </c>
      <c r="P199" s="316" t="s">
        <v>87</v>
      </c>
      <c r="Q199" s="367">
        <v>0</v>
      </c>
      <c r="R199" s="316">
        <v>2021</v>
      </c>
      <c r="S199" s="367">
        <v>0.2</v>
      </c>
      <c r="T199" s="367">
        <v>0.3</v>
      </c>
      <c r="U199" s="367">
        <v>0.5</v>
      </c>
      <c r="V199" s="367">
        <v>0.6</v>
      </c>
      <c r="W199" s="367">
        <v>0.7</v>
      </c>
      <c r="X199" s="367">
        <v>0.8</v>
      </c>
      <c r="Y199" s="367">
        <v>0.9</v>
      </c>
      <c r="Z199" s="367">
        <v>0.95</v>
      </c>
      <c r="AA199" s="367">
        <v>1</v>
      </c>
      <c r="AB199" s="367">
        <v>1</v>
      </c>
      <c r="AC199" s="328">
        <v>50</v>
      </c>
      <c r="AD199" s="328">
        <v>50</v>
      </c>
      <c r="AE199" s="328" t="s">
        <v>81</v>
      </c>
      <c r="AF199" s="328" t="s">
        <v>81</v>
      </c>
      <c r="AG199" s="328" t="s">
        <v>81</v>
      </c>
      <c r="AH199" s="328">
        <v>7000</v>
      </c>
      <c r="AI199" s="328" t="s">
        <v>81</v>
      </c>
      <c r="AJ199" s="328" t="s">
        <v>81</v>
      </c>
      <c r="AK199" s="479" t="s">
        <v>81</v>
      </c>
      <c r="AL199" s="467">
        <f t="shared" si="92"/>
        <v>7100</v>
      </c>
      <c r="AM199" s="373">
        <v>25</v>
      </c>
      <c r="AN199" s="316" t="s">
        <v>155</v>
      </c>
      <c r="AO199" s="373">
        <v>25</v>
      </c>
      <c r="AP199" s="316" t="s">
        <v>189</v>
      </c>
      <c r="AQ199" s="373">
        <v>25</v>
      </c>
      <c r="AR199" s="316" t="s">
        <v>155</v>
      </c>
      <c r="AS199" s="373">
        <v>25</v>
      </c>
      <c r="AT199" s="316" t="s">
        <v>189</v>
      </c>
      <c r="AU199" s="316" t="s">
        <v>81</v>
      </c>
      <c r="AV199" s="316" t="s">
        <v>126</v>
      </c>
      <c r="AW199" s="316" t="s">
        <v>81</v>
      </c>
      <c r="AX199" s="316" t="s">
        <v>81</v>
      </c>
      <c r="AY199" s="316" t="s">
        <v>81</v>
      </c>
      <c r="AZ199" s="316" t="s">
        <v>126</v>
      </c>
      <c r="BA199" s="316" t="s">
        <v>81</v>
      </c>
      <c r="BB199" s="316" t="s">
        <v>81</v>
      </c>
      <c r="BC199" s="316" t="s">
        <v>81</v>
      </c>
      <c r="BD199" s="316" t="s">
        <v>126</v>
      </c>
      <c r="BE199" s="316" t="s">
        <v>81</v>
      </c>
      <c r="BF199" s="316" t="s">
        <v>81</v>
      </c>
      <c r="BG199" s="373">
        <v>7000</v>
      </c>
      <c r="BH199" s="316" t="s">
        <v>126</v>
      </c>
      <c r="BI199" s="316" t="s">
        <v>81</v>
      </c>
      <c r="BJ199" s="316" t="s">
        <v>81</v>
      </c>
      <c r="BK199" s="316" t="s">
        <v>81</v>
      </c>
      <c r="BL199" s="316" t="s">
        <v>126</v>
      </c>
      <c r="BM199" s="316" t="s">
        <v>81</v>
      </c>
      <c r="BN199" s="316" t="s">
        <v>81</v>
      </c>
      <c r="BO199" s="316" t="s">
        <v>81</v>
      </c>
      <c r="BP199" s="316" t="s">
        <v>126</v>
      </c>
      <c r="BQ199" s="316" t="s">
        <v>81</v>
      </c>
      <c r="BR199" s="316" t="s">
        <v>81</v>
      </c>
      <c r="BS199" s="316" t="s">
        <v>81</v>
      </c>
      <c r="BT199" s="316" t="s">
        <v>126</v>
      </c>
      <c r="BU199" s="316" t="s">
        <v>81</v>
      </c>
      <c r="BV199" s="316" t="s">
        <v>81</v>
      </c>
      <c r="BW199" s="97">
        <f t="shared" si="90"/>
        <v>7100</v>
      </c>
      <c r="BX199" s="451">
        <v>1.2</v>
      </c>
      <c r="BY199" s="342" t="s">
        <v>81</v>
      </c>
      <c r="BZ199" s="342" t="s">
        <v>81</v>
      </c>
      <c r="CA199" s="342" t="s">
        <v>81</v>
      </c>
      <c r="CB199" s="342" t="s">
        <v>81</v>
      </c>
      <c r="CC199" s="342" t="s">
        <v>81</v>
      </c>
      <c r="CD199" s="546"/>
      <c r="CE199" s="546"/>
      <c r="CF199" s="53"/>
      <c r="CG199" s="45"/>
      <c r="CH199" s="45"/>
      <c r="CI199" s="97"/>
      <c r="CJ199" s="45"/>
      <c r="CK199" s="546"/>
      <c r="CL199" s="546"/>
      <c r="CM199" s="53"/>
      <c r="CN199" s="45"/>
      <c r="CO199" s="45"/>
      <c r="CP199" s="97"/>
      <c r="CQ199" s="45"/>
      <c r="CR199" s="546"/>
      <c r="CS199" s="546"/>
      <c r="CT199" s="53"/>
      <c r="CU199" s="45"/>
      <c r="CV199" s="45"/>
      <c r="CW199" s="97"/>
      <c r="CX199" s="45"/>
      <c r="CY199" s="546"/>
      <c r="CZ199" s="546"/>
      <c r="DA199" s="53"/>
      <c r="DB199" s="45"/>
      <c r="DC199" s="45"/>
      <c r="DD199" s="97"/>
      <c r="DE199" s="45"/>
      <c r="DF199" s="546"/>
      <c r="DG199" s="546"/>
      <c r="DH199" s="53"/>
      <c r="DI199" s="45"/>
      <c r="DJ199" s="45"/>
      <c r="DK199" s="97"/>
      <c r="DL199" s="45"/>
      <c r="DM199" s="546"/>
      <c r="DN199" s="546"/>
    </row>
    <row r="200" spans="1:118" ht="63.75">
      <c r="B200" s="526"/>
      <c r="C200" s="527"/>
      <c r="D200" s="306" t="s">
        <v>945</v>
      </c>
      <c r="E200" s="431">
        <v>1E-3</v>
      </c>
      <c r="F200" s="187" t="s">
        <v>90</v>
      </c>
      <c r="G200" s="187" t="s">
        <v>137</v>
      </c>
      <c r="H200" s="187" t="s">
        <v>656</v>
      </c>
      <c r="I200" s="187" t="s">
        <v>686</v>
      </c>
      <c r="J200" s="385" t="s">
        <v>687</v>
      </c>
      <c r="K200" s="207">
        <v>45200</v>
      </c>
      <c r="L200" s="156">
        <v>47848</v>
      </c>
      <c r="M200" s="193" t="s">
        <v>78</v>
      </c>
      <c r="N200" s="193" t="s">
        <v>1143</v>
      </c>
      <c r="O200" s="193" t="s">
        <v>1144</v>
      </c>
      <c r="P200" s="193" t="s">
        <v>87</v>
      </c>
      <c r="Q200" s="196">
        <v>0</v>
      </c>
      <c r="R200" s="316">
        <v>2021</v>
      </c>
      <c r="S200" s="196"/>
      <c r="T200" s="196">
        <v>3</v>
      </c>
      <c r="U200" s="196">
        <v>5</v>
      </c>
      <c r="V200" s="196">
        <v>7</v>
      </c>
      <c r="W200" s="196">
        <v>9</v>
      </c>
      <c r="X200" s="196">
        <v>11</v>
      </c>
      <c r="Y200" s="196">
        <v>13</v>
      </c>
      <c r="Z200" s="196">
        <v>15</v>
      </c>
      <c r="AA200" s="196">
        <v>17</v>
      </c>
      <c r="AB200" s="196">
        <v>17</v>
      </c>
      <c r="AC200" s="328"/>
      <c r="AD200" s="328">
        <v>8</v>
      </c>
      <c r="AE200" s="328">
        <f>AD200*2*(1+0.04)</f>
        <v>16.64</v>
      </c>
      <c r="AF200" s="328">
        <f>AE200*(1+4%)</f>
        <v>17.305600000000002</v>
      </c>
      <c r="AG200" s="328">
        <f>AF200*(1+4%)+8</f>
        <v>25.997824000000001</v>
      </c>
      <c r="AH200" s="328">
        <f>AG200*(1+4%)</f>
        <v>27.037736960000004</v>
      </c>
      <c r="AI200" s="328">
        <f>AH200*(1+4%)+8</f>
        <v>36.119246438400005</v>
      </c>
      <c r="AJ200" s="328">
        <f>AI200*(1+4%)</f>
        <v>37.564016295936007</v>
      </c>
      <c r="AK200" s="328">
        <f>AJ200*(1+4%)</f>
        <v>39.066576947773449</v>
      </c>
      <c r="AL200" s="454">
        <f t="shared" si="92"/>
        <v>207.73100064210945</v>
      </c>
      <c r="AM200" s="190"/>
      <c r="AN200" s="196"/>
      <c r="AO200" s="190"/>
      <c r="AP200" s="196"/>
      <c r="AQ200" s="190">
        <f>AD200</f>
        <v>8</v>
      </c>
      <c r="AR200" s="196" t="s">
        <v>189</v>
      </c>
      <c r="AS200" s="190"/>
      <c r="AT200" s="196"/>
      <c r="AU200" s="357">
        <f>AE200/2</f>
        <v>8.32</v>
      </c>
      <c r="AV200" s="196" t="s">
        <v>189</v>
      </c>
      <c r="AW200" s="357">
        <f>AU200</f>
        <v>8.32</v>
      </c>
      <c r="AX200" s="316" t="s">
        <v>126</v>
      </c>
      <c r="AY200" s="357">
        <f>AF200/2</f>
        <v>8.6528000000000009</v>
      </c>
      <c r="AZ200" s="196" t="s">
        <v>189</v>
      </c>
      <c r="BA200" s="357">
        <f>AY200</f>
        <v>8.6528000000000009</v>
      </c>
      <c r="BB200" s="316" t="s">
        <v>126</v>
      </c>
      <c r="BC200" s="357">
        <f>(AG200/2)</f>
        <v>12.998912000000001</v>
      </c>
      <c r="BD200" s="196" t="s">
        <v>189</v>
      </c>
      <c r="BE200" s="357">
        <f>BC200</f>
        <v>12.998912000000001</v>
      </c>
      <c r="BF200" s="316" t="s">
        <v>126</v>
      </c>
      <c r="BG200" s="357">
        <f>AH200/2</f>
        <v>13.518868480000002</v>
      </c>
      <c r="BH200" s="196" t="s">
        <v>189</v>
      </c>
      <c r="BI200" s="357">
        <f>BG200</f>
        <v>13.518868480000002</v>
      </c>
      <c r="BJ200" s="316" t="s">
        <v>126</v>
      </c>
      <c r="BK200" s="357">
        <f>AI200/2</f>
        <v>18.059623219200002</v>
      </c>
      <c r="BL200" s="196" t="s">
        <v>189</v>
      </c>
      <c r="BM200" s="357">
        <f>BK200</f>
        <v>18.059623219200002</v>
      </c>
      <c r="BN200" s="316" t="s">
        <v>126</v>
      </c>
      <c r="BO200" s="357">
        <f>AJ200/2</f>
        <v>18.782008147968003</v>
      </c>
      <c r="BP200" s="196" t="s">
        <v>189</v>
      </c>
      <c r="BQ200" s="357">
        <f>BO200</f>
        <v>18.782008147968003</v>
      </c>
      <c r="BR200" s="316" t="s">
        <v>126</v>
      </c>
      <c r="BS200" s="357">
        <f>AK200/2</f>
        <v>19.533288473886724</v>
      </c>
      <c r="BT200" s="196" t="s">
        <v>189</v>
      </c>
      <c r="BU200" s="357">
        <f>BS200</f>
        <v>19.533288473886724</v>
      </c>
      <c r="BV200" s="316" t="s">
        <v>126</v>
      </c>
      <c r="BW200" s="97">
        <f t="shared" si="90"/>
        <v>207.73100064210951</v>
      </c>
      <c r="BX200" s="384"/>
      <c r="BY200" s="53"/>
      <c r="BZ200" s="45"/>
      <c r="CA200" s="45"/>
      <c r="CB200" s="97"/>
      <c r="CC200" s="45"/>
      <c r="CD200" s="546"/>
      <c r="CE200" s="546"/>
      <c r="CF200" s="53"/>
      <c r="CG200" s="45"/>
      <c r="CH200" s="45"/>
      <c r="CI200" s="97"/>
      <c r="CJ200" s="45"/>
      <c r="CK200" s="546"/>
      <c r="CL200" s="546"/>
      <c r="CM200" s="53"/>
      <c r="CN200" s="45"/>
      <c r="CO200" s="45"/>
      <c r="CP200" s="97"/>
      <c r="CQ200" s="45"/>
      <c r="CR200" s="546"/>
      <c r="CS200" s="546"/>
      <c r="CT200" s="53"/>
      <c r="CU200" s="45"/>
      <c r="CV200" s="45"/>
      <c r="CW200" s="97"/>
      <c r="CX200" s="45"/>
      <c r="CY200" s="546"/>
      <c r="CZ200" s="546"/>
      <c r="DA200" s="53"/>
      <c r="DB200" s="45"/>
      <c r="DC200" s="45"/>
      <c r="DD200" s="97"/>
      <c r="DE200" s="45"/>
      <c r="DF200" s="546"/>
      <c r="DG200" s="546"/>
      <c r="DH200" s="53"/>
      <c r="DI200" s="45"/>
      <c r="DJ200" s="45"/>
      <c r="DK200" s="97"/>
      <c r="DL200" s="45"/>
      <c r="DM200" s="546"/>
      <c r="DN200" s="546"/>
    </row>
    <row r="201" spans="1:118" s="376" customFormat="1" ht="127.5">
      <c r="B201" s="526"/>
      <c r="C201" s="527"/>
      <c r="D201" s="306" t="s">
        <v>946</v>
      </c>
      <c r="E201" s="431">
        <v>1E-3</v>
      </c>
      <c r="F201" s="438" t="s">
        <v>90</v>
      </c>
      <c r="G201" s="438" t="s">
        <v>549</v>
      </c>
      <c r="H201" s="314" t="s">
        <v>691</v>
      </c>
      <c r="I201" s="438" t="s">
        <v>692</v>
      </c>
      <c r="J201" s="385" t="s">
        <v>693</v>
      </c>
      <c r="K201" s="361">
        <v>44713</v>
      </c>
      <c r="L201" s="156">
        <v>47848</v>
      </c>
      <c r="M201" s="315" t="s">
        <v>97</v>
      </c>
      <c r="N201" s="371" t="s">
        <v>1145</v>
      </c>
      <c r="O201" s="371" t="s">
        <v>1300</v>
      </c>
      <c r="P201" s="315" t="s">
        <v>87</v>
      </c>
      <c r="Q201" s="359">
        <v>0</v>
      </c>
      <c r="R201" s="197">
        <v>2022</v>
      </c>
      <c r="S201" s="359">
        <v>0.15</v>
      </c>
      <c r="T201" s="359">
        <v>0.25</v>
      </c>
      <c r="U201" s="359">
        <v>0.4</v>
      </c>
      <c r="V201" s="359">
        <v>0.5</v>
      </c>
      <c r="W201" s="359">
        <v>0.6</v>
      </c>
      <c r="X201" s="359">
        <v>0.7</v>
      </c>
      <c r="Y201" s="359">
        <v>0.8</v>
      </c>
      <c r="Z201" s="359">
        <v>0.9</v>
      </c>
      <c r="AA201" s="359">
        <v>1</v>
      </c>
      <c r="AB201" s="359">
        <v>1</v>
      </c>
      <c r="AC201" s="328"/>
      <c r="AD201" s="328">
        <v>170</v>
      </c>
      <c r="AE201" s="328">
        <v>170</v>
      </c>
      <c r="AF201" s="328">
        <v>170</v>
      </c>
      <c r="AG201" s="328">
        <v>170</v>
      </c>
      <c r="AH201" s="328">
        <v>170</v>
      </c>
      <c r="AI201" s="328">
        <v>260</v>
      </c>
      <c r="AJ201" s="328">
        <v>260</v>
      </c>
      <c r="AK201" s="328">
        <v>260</v>
      </c>
      <c r="AL201" s="387">
        <f t="shared" si="92"/>
        <v>1630</v>
      </c>
      <c r="AM201" s="190"/>
      <c r="AN201" s="194" t="s">
        <v>126</v>
      </c>
      <c r="AO201" s="190"/>
      <c r="AP201" s="194"/>
      <c r="AQ201" s="190"/>
      <c r="AR201" s="194" t="s">
        <v>126</v>
      </c>
      <c r="AS201" s="190"/>
      <c r="AT201" s="194"/>
      <c r="AU201" s="321"/>
      <c r="AV201" s="194" t="s">
        <v>126</v>
      </c>
      <c r="AW201" s="321"/>
      <c r="AX201" s="194"/>
      <c r="AY201" s="321"/>
      <c r="AZ201" s="194" t="s">
        <v>126</v>
      </c>
      <c r="BA201" s="321"/>
      <c r="BB201" s="194"/>
      <c r="BC201" s="321"/>
      <c r="BD201" s="194" t="s">
        <v>126</v>
      </c>
      <c r="BE201" s="321"/>
      <c r="BF201" s="194"/>
      <c r="BG201" s="321"/>
      <c r="BH201" s="194" t="s">
        <v>126</v>
      </c>
      <c r="BI201" s="321"/>
      <c r="BJ201" s="194"/>
      <c r="BK201" s="321"/>
      <c r="BL201" s="194" t="s">
        <v>126</v>
      </c>
      <c r="BM201" s="321"/>
      <c r="BN201" s="194"/>
      <c r="BO201" s="321"/>
      <c r="BP201" s="194" t="s">
        <v>126</v>
      </c>
      <c r="BQ201" s="321"/>
      <c r="BR201" s="194"/>
      <c r="BS201" s="190"/>
      <c r="BT201" s="194" t="s">
        <v>126</v>
      </c>
      <c r="BU201" s="190"/>
      <c r="BV201" s="194"/>
      <c r="BW201" s="97">
        <v>1630</v>
      </c>
      <c r="BX201" s="384"/>
      <c r="BY201" s="53"/>
      <c r="BZ201" s="45"/>
      <c r="CA201" s="45"/>
      <c r="CB201" s="97"/>
      <c r="CC201" s="45"/>
      <c r="CD201" s="546"/>
      <c r="CE201" s="546"/>
      <c r="CF201" s="53"/>
      <c r="CG201" s="45"/>
      <c r="CH201" s="45"/>
      <c r="CI201" s="97"/>
      <c r="CJ201" s="45"/>
      <c r="CK201" s="546"/>
      <c r="CL201" s="546"/>
      <c r="CM201" s="53"/>
      <c r="CN201" s="45"/>
      <c r="CO201" s="45"/>
      <c r="CP201" s="97"/>
      <c r="CQ201" s="45"/>
      <c r="CR201" s="546"/>
      <c r="CS201" s="546"/>
      <c r="CT201" s="53"/>
      <c r="CU201" s="45"/>
      <c r="CV201" s="45"/>
      <c r="CW201" s="97"/>
      <c r="CX201" s="45"/>
      <c r="CY201" s="546"/>
      <c r="CZ201" s="546"/>
      <c r="DA201" s="53"/>
      <c r="DB201" s="45"/>
      <c r="DC201" s="45"/>
      <c r="DD201" s="97"/>
      <c r="DE201" s="45"/>
      <c r="DF201" s="546"/>
      <c r="DG201" s="546"/>
      <c r="DH201" s="53"/>
      <c r="DI201" s="45"/>
      <c r="DJ201" s="45"/>
      <c r="DK201" s="97"/>
      <c r="DL201" s="45"/>
      <c r="DM201" s="546"/>
      <c r="DN201" s="546"/>
    </row>
    <row r="202" spans="1:118" ht="89.25">
      <c r="A202" s="19"/>
      <c r="B202" s="526"/>
      <c r="C202" s="527"/>
      <c r="D202" s="218" t="s">
        <v>1146</v>
      </c>
      <c r="E202" s="431">
        <v>1E-3</v>
      </c>
      <c r="F202" s="187" t="s">
        <v>90</v>
      </c>
      <c r="G202" s="187" t="s">
        <v>677</v>
      </c>
      <c r="H202" s="187" t="s">
        <v>689</v>
      </c>
      <c r="I202" s="187" t="s">
        <v>1147</v>
      </c>
      <c r="J202" s="385" t="s">
        <v>690</v>
      </c>
      <c r="K202" s="192">
        <v>44743</v>
      </c>
      <c r="L202" s="156">
        <v>47848</v>
      </c>
      <c r="M202" s="193" t="s">
        <v>78</v>
      </c>
      <c r="N202" s="193" t="s">
        <v>1148</v>
      </c>
      <c r="O202" s="193" t="s">
        <v>1149</v>
      </c>
      <c r="P202" s="193" t="s">
        <v>87</v>
      </c>
      <c r="Q202" s="45">
        <v>0</v>
      </c>
      <c r="R202" s="206">
        <v>2021</v>
      </c>
      <c r="S202" s="359">
        <v>0.2</v>
      </c>
      <c r="T202" s="359">
        <v>0.4</v>
      </c>
      <c r="U202" s="359">
        <v>0.5</v>
      </c>
      <c r="V202" s="359">
        <v>0.6</v>
      </c>
      <c r="W202" s="359">
        <v>0.7</v>
      </c>
      <c r="X202" s="359">
        <v>0.8</v>
      </c>
      <c r="Y202" s="359">
        <v>0.9</v>
      </c>
      <c r="Z202" s="359">
        <v>0.95</v>
      </c>
      <c r="AA202" s="359">
        <v>1</v>
      </c>
      <c r="AB202" s="45">
        <v>1</v>
      </c>
      <c r="AC202" s="328">
        <v>300</v>
      </c>
      <c r="AD202" s="328">
        <v>16</v>
      </c>
      <c r="AE202" s="328">
        <v>16.2</v>
      </c>
      <c r="AF202" s="328">
        <v>16.399999999999999</v>
      </c>
      <c r="AG202" s="328">
        <v>16.600000000000001</v>
      </c>
      <c r="AH202" s="328">
        <v>16.8</v>
      </c>
      <c r="AI202" s="328">
        <v>17</v>
      </c>
      <c r="AJ202" s="328">
        <v>17.2</v>
      </c>
      <c r="AK202" s="328">
        <v>17.399999999999999</v>
      </c>
      <c r="AL202" s="454">
        <f t="shared" si="92"/>
        <v>433.59999999999997</v>
      </c>
      <c r="AM202" s="190">
        <v>300</v>
      </c>
      <c r="AN202" s="194" t="s">
        <v>80</v>
      </c>
      <c r="AO202" s="190"/>
      <c r="AP202" s="194"/>
      <c r="AQ202" s="190">
        <v>16</v>
      </c>
      <c r="AR202" s="190" t="s">
        <v>80</v>
      </c>
      <c r="AS202" s="190"/>
      <c r="AT202" s="190"/>
      <c r="AU202" s="190">
        <v>16.2</v>
      </c>
      <c r="AV202" s="190" t="s">
        <v>80</v>
      </c>
      <c r="AW202" s="190"/>
      <c r="AX202" s="190"/>
      <c r="AY202" s="190">
        <v>16.399999999999999</v>
      </c>
      <c r="AZ202" s="190" t="s">
        <v>80</v>
      </c>
      <c r="BA202" s="190"/>
      <c r="BB202" s="190"/>
      <c r="BC202" s="190">
        <v>16.600000000000001</v>
      </c>
      <c r="BD202" s="190" t="s">
        <v>80</v>
      </c>
      <c r="BE202" s="190"/>
      <c r="BF202" s="190"/>
      <c r="BG202" s="190">
        <v>16.8</v>
      </c>
      <c r="BH202" s="190" t="s">
        <v>114</v>
      </c>
      <c r="BI202" s="190"/>
      <c r="BJ202" s="190"/>
      <c r="BK202" s="190">
        <v>17</v>
      </c>
      <c r="BL202" s="190" t="s">
        <v>114</v>
      </c>
      <c r="BM202" s="190"/>
      <c r="BN202" s="190"/>
      <c r="BO202" s="190">
        <v>17.2</v>
      </c>
      <c r="BP202" s="190" t="s">
        <v>114</v>
      </c>
      <c r="BQ202" s="321"/>
      <c r="BR202" s="194"/>
      <c r="BS202" s="190">
        <v>17.399999999999999</v>
      </c>
      <c r="BT202" s="194" t="s">
        <v>114</v>
      </c>
      <c r="BU202" s="190"/>
      <c r="BV202" s="194"/>
      <c r="BW202" s="97">
        <f t="shared" ref="BW202:BW220" si="99">IF(SUM(AM202:BV202)=0,"",SUM(AM202:BV202))</f>
        <v>433.59999999999997</v>
      </c>
      <c r="BX202" s="384"/>
      <c r="BY202" s="53"/>
      <c r="BZ202" s="45"/>
      <c r="CA202" s="45"/>
      <c r="CB202" s="97"/>
      <c r="CC202" s="45"/>
      <c r="CD202" s="546"/>
      <c r="CE202" s="546"/>
      <c r="CF202" s="53"/>
      <c r="CG202" s="45"/>
      <c r="CH202" s="45"/>
      <c r="CI202" s="97"/>
      <c r="CJ202" s="45"/>
      <c r="CK202" s="546"/>
      <c r="CL202" s="546"/>
      <c r="CM202" s="53"/>
      <c r="CN202" s="45"/>
      <c r="CO202" s="45"/>
      <c r="CP202" s="97"/>
      <c r="CQ202" s="45"/>
      <c r="CR202" s="546"/>
      <c r="CS202" s="546"/>
      <c r="CT202" s="53"/>
      <c r="CU202" s="45"/>
      <c r="CV202" s="45"/>
      <c r="CW202" s="97"/>
      <c r="CX202" s="45"/>
      <c r="CY202" s="546"/>
      <c r="CZ202" s="546"/>
      <c r="DA202" s="53"/>
      <c r="DB202" s="45"/>
      <c r="DC202" s="45"/>
      <c r="DD202" s="97"/>
      <c r="DE202" s="45"/>
      <c r="DF202" s="546"/>
      <c r="DG202" s="546"/>
      <c r="DH202" s="53"/>
      <c r="DI202" s="45"/>
      <c r="DJ202" s="45"/>
      <c r="DK202" s="97"/>
      <c r="DL202" s="45"/>
      <c r="DM202" s="546"/>
      <c r="DN202" s="546"/>
    </row>
    <row r="203" spans="1:118" s="376" customFormat="1" ht="51">
      <c r="B203" s="526"/>
      <c r="C203" s="527"/>
      <c r="D203" s="306" t="s">
        <v>1152</v>
      </c>
      <c r="E203" s="431">
        <v>1E-3</v>
      </c>
      <c r="F203" s="438" t="s">
        <v>90</v>
      </c>
      <c r="G203" s="438" t="s">
        <v>645</v>
      </c>
      <c r="H203" s="438" t="s">
        <v>646</v>
      </c>
      <c r="I203" s="438" t="s">
        <v>647</v>
      </c>
      <c r="J203" s="385" t="s">
        <v>1150</v>
      </c>
      <c r="K203" s="362">
        <v>44713</v>
      </c>
      <c r="L203" s="361">
        <v>47495</v>
      </c>
      <c r="M203" s="315" t="s">
        <v>97</v>
      </c>
      <c r="N203" s="315" t="s">
        <v>1151</v>
      </c>
      <c r="O203" s="315" t="s">
        <v>1153</v>
      </c>
      <c r="P203" s="315" t="s">
        <v>87</v>
      </c>
      <c r="Q203" s="194">
        <v>0</v>
      </c>
      <c r="R203" s="216">
        <v>2021</v>
      </c>
      <c r="S203" s="194">
        <v>1</v>
      </c>
      <c r="T203" s="194">
        <v>2</v>
      </c>
      <c r="U203" s="194">
        <v>3</v>
      </c>
      <c r="V203" s="194">
        <v>4</v>
      </c>
      <c r="W203" s="194">
        <v>5</v>
      </c>
      <c r="X203" s="194">
        <v>6</v>
      </c>
      <c r="Y203" s="194">
        <v>7</v>
      </c>
      <c r="Z203" s="194">
        <v>8</v>
      </c>
      <c r="AA203" s="194">
        <v>9</v>
      </c>
      <c r="AB203" s="194">
        <v>9</v>
      </c>
      <c r="AC203" s="328">
        <v>10</v>
      </c>
      <c r="AD203" s="328">
        <v>10</v>
      </c>
      <c r="AE203" s="328">
        <v>10</v>
      </c>
      <c r="AF203" s="328">
        <v>10</v>
      </c>
      <c r="AG203" s="328">
        <v>10</v>
      </c>
      <c r="AH203" s="328">
        <v>10</v>
      </c>
      <c r="AI203" s="328">
        <v>10</v>
      </c>
      <c r="AJ203" s="328">
        <v>10</v>
      </c>
      <c r="AK203" s="328">
        <v>10</v>
      </c>
      <c r="AL203" s="387">
        <f t="shared" si="92"/>
        <v>90</v>
      </c>
      <c r="AM203" s="214">
        <v>10</v>
      </c>
      <c r="AN203" s="194" t="s">
        <v>126</v>
      </c>
      <c r="AO203" s="190"/>
      <c r="AP203" s="194"/>
      <c r="AQ203" s="214">
        <v>10</v>
      </c>
      <c r="AR203" s="194" t="s">
        <v>126</v>
      </c>
      <c r="AS203" s="190"/>
      <c r="AT203" s="194"/>
      <c r="AU203" s="214">
        <v>10</v>
      </c>
      <c r="AV203" s="194" t="s">
        <v>126</v>
      </c>
      <c r="AW203" s="321"/>
      <c r="AX203" s="194"/>
      <c r="AY203" s="214">
        <v>10</v>
      </c>
      <c r="AZ203" s="194" t="s">
        <v>126</v>
      </c>
      <c r="BA203" s="321"/>
      <c r="BB203" s="194"/>
      <c r="BC203" s="214">
        <v>10</v>
      </c>
      <c r="BD203" s="194" t="s">
        <v>126</v>
      </c>
      <c r="BE203" s="321"/>
      <c r="BF203" s="194"/>
      <c r="BG203" s="214">
        <v>10</v>
      </c>
      <c r="BH203" s="194" t="s">
        <v>126</v>
      </c>
      <c r="BI203" s="321"/>
      <c r="BJ203" s="194"/>
      <c r="BK203" s="214">
        <v>10</v>
      </c>
      <c r="BL203" s="194" t="s">
        <v>126</v>
      </c>
      <c r="BM203" s="321"/>
      <c r="BN203" s="194"/>
      <c r="BO203" s="214">
        <v>10</v>
      </c>
      <c r="BP203" s="194" t="s">
        <v>126</v>
      </c>
      <c r="BQ203" s="321"/>
      <c r="BR203" s="194"/>
      <c r="BS203" s="214">
        <v>10</v>
      </c>
      <c r="BT203" s="194" t="s">
        <v>126</v>
      </c>
      <c r="BU203" s="190"/>
      <c r="BV203" s="194"/>
      <c r="BW203" s="97">
        <f t="shared" si="99"/>
        <v>90</v>
      </c>
      <c r="BX203" s="384"/>
      <c r="BY203" s="53"/>
      <c r="BZ203" s="45"/>
      <c r="CA203" s="45"/>
      <c r="CB203" s="97"/>
      <c r="CC203" s="45"/>
      <c r="CD203" s="546"/>
      <c r="CE203" s="546"/>
      <c r="CF203" s="53"/>
      <c r="CG203" s="45"/>
      <c r="CH203" s="45"/>
      <c r="CI203" s="97"/>
      <c r="CJ203" s="45"/>
      <c r="CK203" s="546"/>
      <c r="CL203" s="546"/>
      <c r="CM203" s="53"/>
      <c r="CN203" s="45"/>
      <c r="CO203" s="45"/>
      <c r="CP203" s="97"/>
      <c r="CQ203" s="45"/>
      <c r="CR203" s="546"/>
      <c r="CS203" s="546"/>
      <c r="CT203" s="53"/>
      <c r="CU203" s="45"/>
      <c r="CV203" s="45"/>
      <c r="CW203" s="97"/>
      <c r="CX203" s="45"/>
      <c r="CY203" s="546"/>
      <c r="CZ203" s="546"/>
      <c r="DA203" s="53"/>
      <c r="DB203" s="45"/>
      <c r="DC203" s="45"/>
      <c r="DD203" s="97"/>
      <c r="DE203" s="45"/>
      <c r="DF203" s="546"/>
      <c r="DG203" s="546"/>
      <c r="DH203" s="53"/>
      <c r="DI203" s="45"/>
      <c r="DJ203" s="45"/>
      <c r="DK203" s="97"/>
      <c r="DL203" s="45"/>
      <c r="DM203" s="546"/>
      <c r="DN203" s="546"/>
    </row>
    <row r="204" spans="1:118" s="376" customFormat="1" ht="38.25">
      <c r="B204" s="526"/>
      <c r="C204" s="527"/>
      <c r="D204" s="306" t="s">
        <v>947</v>
      </c>
      <c r="E204" s="431">
        <v>1E-3</v>
      </c>
      <c r="F204" s="438" t="s">
        <v>90</v>
      </c>
      <c r="G204" s="438" t="s">
        <v>152</v>
      </c>
      <c r="H204" s="438" t="s">
        <v>648</v>
      </c>
      <c r="I204" s="438" t="s">
        <v>649</v>
      </c>
      <c r="J204" s="385" t="s">
        <v>650</v>
      </c>
      <c r="K204" s="361">
        <v>45108</v>
      </c>
      <c r="L204" s="156">
        <v>47848</v>
      </c>
      <c r="M204" s="315" t="s">
        <v>97</v>
      </c>
      <c r="N204" s="315" t="s">
        <v>651</v>
      </c>
      <c r="O204" s="315" t="s">
        <v>652</v>
      </c>
      <c r="P204" s="315" t="s">
        <v>87</v>
      </c>
      <c r="Q204" s="196">
        <v>3</v>
      </c>
      <c r="R204" s="197">
        <v>2022</v>
      </c>
      <c r="S204" s="196"/>
      <c r="T204" s="196">
        <v>1</v>
      </c>
      <c r="U204" s="196">
        <v>2</v>
      </c>
      <c r="V204" s="196">
        <v>3</v>
      </c>
      <c r="W204" s="196">
        <v>4</v>
      </c>
      <c r="X204" s="196">
        <v>5</v>
      </c>
      <c r="Y204" s="196">
        <v>6</v>
      </c>
      <c r="Z204" s="196">
        <v>7</v>
      </c>
      <c r="AA204" s="196">
        <v>8</v>
      </c>
      <c r="AB204" s="194">
        <v>8</v>
      </c>
      <c r="AC204" s="328"/>
      <c r="AD204" s="334">
        <v>900</v>
      </c>
      <c r="AE204" s="334">
        <v>945</v>
      </c>
      <c r="AF204" s="334">
        <v>992.25</v>
      </c>
      <c r="AG204" s="334">
        <v>1041.8625</v>
      </c>
      <c r="AH204" s="334">
        <v>1093.9556250000001</v>
      </c>
      <c r="AI204" s="334">
        <v>1148.65340625</v>
      </c>
      <c r="AJ204" s="334">
        <v>1206.0860765625</v>
      </c>
      <c r="AK204" s="334">
        <v>1266.3903803906251</v>
      </c>
      <c r="AL204" s="387">
        <f t="shared" si="92"/>
        <v>8594.1979882031246</v>
      </c>
      <c r="AM204" s="190"/>
      <c r="AN204" s="194"/>
      <c r="AO204" s="190"/>
      <c r="AP204" s="194"/>
      <c r="AQ204" s="190">
        <v>900</v>
      </c>
      <c r="AR204" s="316" t="s">
        <v>114</v>
      </c>
      <c r="AS204" s="190"/>
      <c r="AT204" s="194"/>
      <c r="AU204" s="321">
        <v>945</v>
      </c>
      <c r="AV204" s="194" t="s">
        <v>114</v>
      </c>
      <c r="AW204" s="321"/>
      <c r="AX204" s="194"/>
      <c r="AY204" s="321">
        <v>992.25</v>
      </c>
      <c r="AZ204" s="194" t="s">
        <v>114</v>
      </c>
      <c r="BA204" s="321"/>
      <c r="BB204" s="194"/>
      <c r="BC204" s="321">
        <v>1041.8625</v>
      </c>
      <c r="BD204" s="194" t="s">
        <v>114</v>
      </c>
      <c r="BE204" s="321"/>
      <c r="BF204" s="194"/>
      <c r="BG204" s="321">
        <v>1093.9556250000001</v>
      </c>
      <c r="BH204" s="194" t="s">
        <v>114</v>
      </c>
      <c r="BI204" s="321"/>
      <c r="BJ204" s="194"/>
      <c r="BK204" s="321">
        <v>1148.65340625</v>
      </c>
      <c r="BL204" s="194" t="s">
        <v>114</v>
      </c>
      <c r="BM204" s="321"/>
      <c r="BN204" s="194"/>
      <c r="BO204" s="321">
        <v>1206.0860765625</v>
      </c>
      <c r="BP204" s="194" t="s">
        <v>114</v>
      </c>
      <c r="BQ204" s="321"/>
      <c r="BR204" s="194"/>
      <c r="BS204" s="190">
        <v>1266.3903803906251</v>
      </c>
      <c r="BT204" s="194" t="s">
        <v>114</v>
      </c>
      <c r="BU204" s="190"/>
      <c r="BV204" s="194"/>
      <c r="BW204" s="97">
        <f t="shared" si="99"/>
        <v>8594.1979882031246</v>
      </c>
      <c r="BX204" s="384"/>
      <c r="BY204" s="53"/>
      <c r="BZ204" s="45"/>
      <c r="CA204" s="45"/>
      <c r="CB204" s="97"/>
      <c r="CC204" s="45"/>
      <c r="CD204" s="546"/>
      <c r="CE204" s="546"/>
      <c r="CF204" s="53"/>
      <c r="CG204" s="45"/>
      <c r="CH204" s="45"/>
      <c r="CI204" s="97"/>
      <c r="CJ204" s="45"/>
      <c r="CK204" s="546"/>
      <c r="CL204" s="546"/>
      <c r="CM204" s="53"/>
      <c r="CN204" s="45"/>
      <c r="CO204" s="45"/>
      <c r="CP204" s="97"/>
      <c r="CQ204" s="45"/>
      <c r="CR204" s="546"/>
      <c r="CS204" s="546"/>
      <c r="CT204" s="53"/>
      <c r="CU204" s="45"/>
      <c r="CV204" s="45"/>
      <c r="CW204" s="97"/>
      <c r="CX204" s="45"/>
      <c r="CY204" s="546"/>
      <c r="CZ204" s="546"/>
      <c r="DA204" s="53"/>
      <c r="DB204" s="45"/>
      <c r="DC204" s="45"/>
      <c r="DD204" s="97"/>
      <c r="DE204" s="45"/>
      <c r="DF204" s="546"/>
      <c r="DG204" s="546"/>
      <c r="DH204" s="53"/>
      <c r="DI204" s="45"/>
      <c r="DJ204" s="45"/>
      <c r="DK204" s="97"/>
      <c r="DL204" s="45"/>
      <c r="DM204" s="546"/>
      <c r="DN204" s="546"/>
    </row>
    <row r="205" spans="1:118" s="376" customFormat="1" ht="140.25">
      <c r="B205" s="526"/>
      <c r="C205" s="527"/>
      <c r="D205" s="306" t="s">
        <v>948</v>
      </c>
      <c r="E205" s="431">
        <v>1E-3</v>
      </c>
      <c r="F205" s="438" t="s">
        <v>90</v>
      </c>
      <c r="G205" s="438" t="s">
        <v>1154</v>
      </c>
      <c r="H205" s="438" t="s">
        <v>1155</v>
      </c>
      <c r="I205" s="438" t="s">
        <v>1156</v>
      </c>
      <c r="J205" s="385" t="s">
        <v>1157</v>
      </c>
      <c r="K205" s="361">
        <v>44928</v>
      </c>
      <c r="L205" s="156">
        <v>47848</v>
      </c>
      <c r="M205" s="315" t="s">
        <v>97</v>
      </c>
      <c r="N205" s="315" t="s">
        <v>674</v>
      </c>
      <c r="O205" s="315" t="s">
        <v>1158</v>
      </c>
      <c r="P205" s="315" t="s">
        <v>87</v>
      </c>
      <c r="Q205" s="359">
        <v>0</v>
      </c>
      <c r="R205" s="216">
        <v>2021</v>
      </c>
      <c r="S205" s="367"/>
      <c r="T205" s="367">
        <v>0.4</v>
      </c>
      <c r="U205" s="367">
        <v>0.45</v>
      </c>
      <c r="V205" s="367">
        <v>0.5</v>
      </c>
      <c r="W205" s="367">
        <v>0.55000000000000004</v>
      </c>
      <c r="X205" s="367">
        <v>0.6</v>
      </c>
      <c r="Y205" s="367">
        <v>0.7</v>
      </c>
      <c r="Z205" s="367">
        <v>0.85</v>
      </c>
      <c r="AA205" s="367">
        <v>1</v>
      </c>
      <c r="AB205" s="367">
        <v>1</v>
      </c>
      <c r="AC205" s="333"/>
      <c r="AD205" s="333">
        <v>10.4</v>
      </c>
      <c r="AE205" s="333">
        <v>10.712</v>
      </c>
      <c r="AF205" s="333">
        <v>11.03336</v>
      </c>
      <c r="AG205" s="333">
        <v>11.3643608</v>
      </c>
      <c r="AH205" s="333">
        <v>11.705291624000001</v>
      </c>
      <c r="AI205" s="333">
        <v>12.056450372720001</v>
      </c>
      <c r="AJ205" s="333">
        <v>12.418143883901601</v>
      </c>
      <c r="AK205" s="333">
        <v>12.79068820041865</v>
      </c>
      <c r="AL205" s="387">
        <f t="shared" si="92"/>
        <v>92.480294881040265</v>
      </c>
      <c r="AM205" s="429"/>
      <c r="AN205" s="194"/>
      <c r="AO205" s="190"/>
      <c r="AP205" s="194"/>
      <c r="AQ205" s="429">
        <v>10.4</v>
      </c>
      <c r="AR205" s="194" t="s">
        <v>80</v>
      </c>
      <c r="AS205" s="190"/>
      <c r="AT205" s="194"/>
      <c r="AU205" s="481">
        <v>10.712</v>
      </c>
      <c r="AV205" s="194" t="s">
        <v>80</v>
      </c>
      <c r="AW205" s="321"/>
      <c r="AX205" s="194"/>
      <c r="AY205" s="481">
        <v>11.03336</v>
      </c>
      <c r="AZ205" s="194" t="s">
        <v>80</v>
      </c>
      <c r="BA205" s="321"/>
      <c r="BB205" s="194"/>
      <c r="BC205" s="481">
        <v>11.3643608</v>
      </c>
      <c r="BD205" s="194" t="s">
        <v>80</v>
      </c>
      <c r="BE205" s="321"/>
      <c r="BF205" s="194"/>
      <c r="BG205" s="481">
        <v>11.705291624000001</v>
      </c>
      <c r="BH205" s="194" t="s">
        <v>80</v>
      </c>
      <c r="BI205" s="321"/>
      <c r="BJ205" s="194"/>
      <c r="BK205" s="481">
        <v>12.056450372720001</v>
      </c>
      <c r="BL205" s="194" t="s">
        <v>80</v>
      </c>
      <c r="BM205" s="321"/>
      <c r="BN205" s="194"/>
      <c r="BO205" s="481">
        <v>12.418143883901601</v>
      </c>
      <c r="BP205" s="194" t="s">
        <v>80</v>
      </c>
      <c r="BQ205" s="321"/>
      <c r="BR205" s="194"/>
      <c r="BS205" s="481">
        <v>12.79068820041865</v>
      </c>
      <c r="BT205" s="194" t="s">
        <v>80</v>
      </c>
      <c r="BU205" s="190"/>
      <c r="BV205" s="194"/>
      <c r="BW205" s="97">
        <f t="shared" si="99"/>
        <v>92.480294881040265</v>
      </c>
      <c r="BX205" s="384"/>
      <c r="BY205" s="53"/>
      <c r="BZ205" s="45"/>
      <c r="CA205" s="45"/>
      <c r="CB205" s="97"/>
      <c r="CC205" s="45"/>
      <c r="CD205" s="546"/>
      <c r="CE205" s="546"/>
      <c r="CF205" s="53"/>
      <c r="CG205" s="45"/>
      <c r="CH205" s="45"/>
      <c r="CI205" s="97"/>
      <c r="CJ205" s="45"/>
      <c r="CK205" s="546"/>
      <c r="CL205" s="546"/>
      <c r="CM205" s="53"/>
      <c r="CN205" s="45"/>
      <c r="CO205" s="45"/>
      <c r="CP205" s="97"/>
      <c r="CQ205" s="45"/>
      <c r="CR205" s="546"/>
      <c r="CS205" s="546"/>
      <c r="CT205" s="53"/>
      <c r="CU205" s="45"/>
      <c r="CV205" s="45"/>
      <c r="CW205" s="97"/>
      <c r="CX205" s="45"/>
      <c r="CY205" s="546"/>
      <c r="CZ205" s="546"/>
      <c r="DA205" s="53"/>
      <c r="DB205" s="45"/>
      <c r="DC205" s="45"/>
      <c r="DD205" s="97"/>
      <c r="DE205" s="45"/>
      <c r="DF205" s="546"/>
      <c r="DG205" s="546"/>
      <c r="DH205" s="53"/>
      <c r="DI205" s="45"/>
      <c r="DJ205" s="45"/>
      <c r="DK205" s="97"/>
      <c r="DL205" s="45"/>
      <c r="DM205" s="546"/>
      <c r="DN205" s="546"/>
    </row>
    <row r="206" spans="1:118" s="376" customFormat="1" ht="89.25">
      <c r="B206" s="526"/>
      <c r="C206" s="527"/>
      <c r="D206" s="306" t="s">
        <v>949</v>
      </c>
      <c r="E206" s="431">
        <v>5.0000000000000001E-3</v>
      </c>
      <c r="F206" s="438" t="s">
        <v>90</v>
      </c>
      <c r="G206" s="438" t="s">
        <v>190</v>
      </c>
      <c r="H206" s="316" t="s">
        <v>191</v>
      </c>
      <c r="I206" s="316" t="s">
        <v>192</v>
      </c>
      <c r="J206" s="385" t="s">
        <v>193</v>
      </c>
      <c r="K206" s="361">
        <v>44713</v>
      </c>
      <c r="L206" s="361">
        <v>45657</v>
      </c>
      <c r="M206" s="315" t="s">
        <v>78</v>
      </c>
      <c r="N206" s="315" t="s">
        <v>653</v>
      </c>
      <c r="O206" s="315" t="s">
        <v>654</v>
      </c>
      <c r="P206" s="315" t="s">
        <v>87</v>
      </c>
      <c r="Q206" s="367">
        <v>0</v>
      </c>
      <c r="R206" s="316">
        <v>2022</v>
      </c>
      <c r="S206" s="372">
        <v>0.3</v>
      </c>
      <c r="T206" s="372">
        <v>0.6</v>
      </c>
      <c r="U206" s="372">
        <v>1</v>
      </c>
      <c r="V206" s="372"/>
      <c r="W206" s="372"/>
      <c r="X206" s="372"/>
      <c r="Y206" s="372"/>
      <c r="Z206" s="372"/>
      <c r="AA206" s="338"/>
      <c r="AB206" s="372">
        <v>1</v>
      </c>
      <c r="AC206" s="334">
        <v>210</v>
      </c>
      <c r="AD206" s="334">
        <v>210</v>
      </c>
      <c r="AE206" s="334">
        <v>120</v>
      </c>
      <c r="AF206" s="334"/>
      <c r="AG206" s="334"/>
      <c r="AH206" s="334"/>
      <c r="AI206" s="334"/>
      <c r="AJ206" s="334"/>
      <c r="AK206" s="426"/>
      <c r="AL206" s="387">
        <f t="shared" si="92"/>
        <v>540</v>
      </c>
      <c r="AM206" s="368"/>
      <c r="AN206" s="220">
        <v>210</v>
      </c>
      <c r="AO206" s="221" t="s">
        <v>189</v>
      </c>
      <c r="AP206" s="220"/>
      <c r="AQ206" s="221"/>
      <c r="AR206" s="220">
        <v>210</v>
      </c>
      <c r="AS206" s="221" t="s">
        <v>189</v>
      </c>
      <c r="AT206" s="220"/>
      <c r="AU206" s="221"/>
      <c r="AV206" s="220">
        <v>120</v>
      </c>
      <c r="AW206" s="221" t="s">
        <v>189</v>
      </c>
      <c r="AX206" s="220"/>
      <c r="AY206" s="221"/>
      <c r="AZ206" s="194"/>
      <c r="BA206" s="321"/>
      <c r="BB206" s="194"/>
      <c r="BC206" s="321"/>
      <c r="BD206" s="194"/>
      <c r="BE206" s="321"/>
      <c r="BF206" s="194"/>
      <c r="BG206" s="321"/>
      <c r="BH206" s="194"/>
      <c r="BI206" s="321"/>
      <c r="BJ206" s="194"/>
      <c r="BK206" s="321"/>
      <c r="BL206" s="194"/>
      <c r="BM206" s="321"/>
      <c r="BN206" s="194"/>
      <c r="BO206" s="321"/>
      <c r="BP206" s="194"/>
      <c r="BQ206" s="321"/>
      <c r="BR206" s="194"/>
      <c r="BS206" s="190"/>
      <c r="BT206" s="194"/>
      <c r="BU206" s="190"/>
      <c r="BV206" s="194"/>
      <c r="BW206" s="97">
        <f t="shared" si="99"/>
        <v>540</v>
      </c>
      <c r="BX206" s="384"/>
      <c r="BY206" s="53"/>
      <c r="BZ206" s="45"/>
      <c r="CA206" s="45"/>
      <c r="CB206" s="97"/>
      <c r="CC206" s="45"/>
      <c r="CD206" s="546"/>
      <c r="CE206" s="546"/>
      <c r="CF206" s="53"/>
      <c r="CG206" s="45"/>
      <c r="CH206" s="45"/>
      <c r="CI206" s="97"/>
      <c r="CJ206" s="45"/>
      <c r="CK206" s="546"/>
      <c r="CL206" s="546"/>
      <c r="CM206" s="53"/>
      <c r="CN206" s="45"/>
      <c r="CO206" s="45"/>
      <c r="CP206" s="97"/>
      <c r="CQ206" s="45"/>
      <c r="CR206" s="546"/>
      <c r="CS206" s="546"/>
      <c r="CT206" s="53"/>
      <c r="CU206" s="45"/>
      <c r="CV206" s="45"/>
      <c r="CW206" s="97"/>
      <c r="CX206" s="45"/>
      <c r="CY206" s="546"/>
      <c r="CZ206" s="546"/>
      <c r="DA206" s="53"/>
      <c r="DB206" s="45"/>
      <c r="DC206" s="45"/>
      <c r="DD206" s="97"/>
      <c r="DE206" s="45"/>
      <c r="DF206" s="546"/>
      <c r="DG206" s="546"/>
      <c r="DH206" s="53"/>
      <c r="DI206" s="45"/>
      <c r="DJ206" s="45"/>
      <c r="DK206" s="97"/>
      <c r="DL206" s="45"/>
      <c r="DM206" s="546"/>
      <c r="DN206" s="546"/>
    </row>
    <row r="207" spans="1:118" s="376" customFormat="1" ht="51">
      <c r="B207" s="526"/>
      <c r="C207" s="527"/>
      <c r="D207" s="366" t="s">
        <v>1172</v>
      </c>
      <c r="E207" s="431">
        <v>1E-3</v>
      </c>
      <c r="F207" s="438" t="s">
        <v>90</v>
      </c>
      <c r="G207" s="316" t="s">
        <v>220</v>
      </c>
      <c r="H207" s="338" t="s">
        <v>221</v>
      </c>
      <c r="I207" s="338" t="s">
        <v>676</v>
      </c>
      <c r="J207" s="385" t="s">
        <v>223</v>
      </c>
      <c r="K207" s="362">
        <v>44713</v>
      </c>
      <c r="L207" s="156">
        <v>47848</v>
      </c>
      <c r="M207" s="315" t="s">
        <v>78</v>
      </c>
      <c r="N207" s="315" t="s">
        <v>1165</v>
      </c>
      <c r="O207" s="315" t="s">
        <v>1166</v>
      </c>
      <c r="P207" s="315" t="s">
        <v>87</v>
      </c>
      <c r="Q207" s="316">
        <v>0</v>
      </c>
      <c r="R207" s="316">
        <v>2021</v>
      </c>
      <c r="S207" s="316">
        <v>5</v>
      </c>
      <c r="T207" s="316">
        <v>20</v>
      </c>
      <c r="U207" s="316">
        <v>30</v>
      </c>
      <c r="V207" s="316">
        <v>40</v>
      </c>
      <c r="W207" s="316">
        <v>50</v>
      </c>
      <c r="X207" s="316">
        <v>60</v>
      </c>
      <c r="Y207" s="316">
        <v>70</v>
      </c>
      <c r="Z207" s="316">
        <v>80</v>
      </c>
      <c r="AA207" s="316">
        <v>100</v>
      </c>
      <c r="AB207" s="316">
        <v>100</v>
      </c>
      <c r="AC207" s="333">
        <v>2000</v>
      </c>
      <c r="AD207" s="333">
        <v>1500</v>
      </c>
      <c r="AE207" s="333">
        <v>1500</v>
      </c>
      <c r="AF207" s="333">
        <v>1500</v>
      </c>
      <c r="AG207" s="333">
        <v>1500</v>
      </c>
      <c r="AH207" s="333">
        <v>1500</v>
      </c>
      <c r="AI207" s="333">
        <v>1500</v>
      </c>
      <c r="AJ207" s="333">
        <v>1500</v>
      </c>
      <c r="AK207" s="333">
        <v>1500</v>
      </c>
      <c r="AL207" s="387">
        <f t="shared" si="92"/>
        <v>14000</v>
      </c>
      <c r="AM207" s="427">
        <v>2000</v>
      </c>
      <c r="AN207" s="246" t="s">
        <v>119</v>
      </c>
      <c r="AO207" s="396"/>
      <c r="AP207" s="396"/>
      <c r="AQ207" s="246">
        <v>1500</v>
      </c>
      <c r="AR207" s="246" t="s">
        <v>119</v>
      </c>
      <c r="AS207" s="358"/>
      <c r="AT207" s="358"/>
      <c r="AU207" s="246">
        <v>1500</v>
      </c>
      <c r="AV207" s="246" t="s">
        <v>119</v>
      </c>
      <c r="AW207" s="358"/>
      <c r="AX207" s="358"/>
      <c r="AY207" s="246">
        <v>1500</v>
      </c>
      <c r="AZ207" s="246" t="s">
        <v>119</v>
      </c>
      <c r="BA207" s="358"/>
      <c r="BB207" s="358"/>
      <c r="BC207" s="246">
        <v>1500</v>
      </c>
      <c r="BD207" s="246" t="s">
        <v>119</v>
      </c>
      <c r="BE207" s="358"/>
      <c r="BF207" s="358"/>
      <c r="BG207" s="246">
        <v>1500</v>
      </c>
      <c r="BH207" s="246" t="s">
        <v>119</v>
      </c>
      <c r="BI207" s="358"/>
      <c r="BJ207" s="358"/>
      <c r="BK207" s="246">
        <v>1500</v>
      </c>
      <c r="BL207" s="246" t="s">
        <v>119</v>
      </c>
      <c r="BM207" s="358"/>
      <c r="BN207" s="358"/>
      <c r="BO207" s="246">
        <v>1500</v>
      </c>
      <c r="BP207" s="246" t="s">
        <v>119</v>
      </c>
      <c r="BQ207" s="358"/>
      <c r="BR207" s="358"/>
      <c r="BS207" s="246">
        <v>1500</v>
      </c>
      <c r="BT207" s="246" t="s">
        <v>119</v>
      </c>
      <c r="BU207" s="314"/>
      <c r="BV207" s="314"/>
      <c r="BW207" s="97">
        <f t="shared" si="99"/>
        <v>14000</v>
      </c>
      <c r="BX207" s="384"/>
      <c r="BY207" s="53"/>
      <c r="BZ207" s="45"/>
      <c r="CA207" s="45"/>
      <c r="CB207" s="97"/>
      <c r="CC207" s="45"/>
      <c r="CD207" s="546"/>
      <c r="CE207" s="546"/>
      <c r="CF207" s="53"/>
      <c r="CG207" s="45"/>
      <c r="CH207" s="45"/>
      <c r="CI207" s="97"/>
      <c r="CJ207" s="45"/>
      <c r="CK207" s="546"/>
      <c r="CL207" s="546"/>
      <c r="CM207" s="53"/>
      <c r="CN207" s="45"/>
      <c r="CO207" s="45"/>
      <c r="CP207" s="97"/>
      <c r="CQ207" s="45"/>
      <c r="CR207" s="546"/>
      <c r="CS207" s="546"/>
      <c r="CT207" s="53"/>
      <c r="CU207" s="45"/>
      <c r="CV207" s="45"/>
      <c r="CW207" s="97"/>
      <c r="CX207" s="45"/>
      <c r="CY207" s="546"/>
      <c r="CZ207" s="546"/>
      <c r="DA207" s="53"/>
      <c r="DB207" s="45"/>
      <c r="DC207" s="45"/>
      <c r="DD207" s="97"/>
      <c r="DE207" s="45"/>
      <c r="DF207" s="546"/>
      <c r="DG207" s="546"/>
      <c r="DH207" s="53"/>
      <c r="DI207" s="45"/>
      <c r="DJ207" s="45"/>
      <c r="DK207" s="97"/>
      <c r="DL207" s="45"/>
      <c r="DM207" s="546"/>
      <c r="DN207" s="546"/>
    </row>
    <row r="208" spans="1:118" s="376" customFormat="1" ht="89.25">
      <c r="B208" s="526"/>
      <c r="C208" s="527"/>
      <c r="D208" s="366" t="s">
        <v>1173</v>
      </c>
      <c r="E208" s="431">
        <v>1E-3</v>
      </c>
      <c r="F208" s="438" t="s">
        <v>90</v>
      </c>
      <c r="G208" s="438" t="s">
        <v>677</v>
      </c>
      <c r="H208" s="316" t="s">
        <v>1167</v>
      </c>
      <c r="I208" s="338" t="s">
        <v>1168</v>
      </c>
      <c r="J208" s="385" t="s">
        <v>678</v>
      </c>
      <c r="K208" s="362">
        <v>44743</v>
      </c>
      <c r="L208" s="156">
        <v>47848</v>
      </c>
      <c r="M208" s="315" t="s">
        <v>78</v>
      </c>
      <c r="N208" s="315" t="s">
        <v>679</v>
      </c>
      <c r="O208" s="315" t="s">
        <v>1169</v>
      </c>
      <c r="P208" s="315" t="s">
        <v>87</v>
      </c>
      <c r="Q208" s="428">
        <v>0.1</v>
      </c>
      <c r="R208" s="316">
        <v>2021</v>
      </c>
      <c r="S208" s="247">
        <v>0.2</v>
      </c>
      <c r="T208" s="247">
        <v>0.3</v>
      </c>
      <c r="U208" s="247">
        <v>0.4</v>
      </c>
      <c r="V208" s="247">
        <v>0.5</v>
      </c>
      <c r="W208" s="247">
        <v>0.6</v>
      </c>
      <c r="X208" s="247">
        <v>0.7</v>
      </c>
      <c r="Y208" s="247">
        <v>0.8</v>
      </c>
      <c r="Z208" s="247">
        <v>0.9</v>
      </c>
      <c r="AA208" s="247">
        <v>1</v>
      </c>
      <c r="AB208" s="247">
        <v>1</v>
      </c>
      <c r="AC208" s="333">
        <v>16</v>
      </c>
      <c r="AD208" s="333">
        <v>16.2</v>
      </c>
      <c r="AE208" s="333">
        <v>16.399999999999999</v>
      </c>
      <c r="AF208" s="333">
        <v>16.600000000000001</v>
      </c>
      <c r="AG208" s="333">
        <v>16.8</v>
      </c>
      <c r="AH208" s="333">
        <v>17</v>
      </c>
      <c r="AI208" s="333">
        <v>17.2</v>
      </c>
      <c r="AJ208" s="333">
        <v>17.399999999999999</v>
      </c>
      <c r="AK208" s="333">
        <v>17.600000000000001</v>
      </c>
      <c r="AL208" s="387">
        <f t="shared" si="92"/>
        <v>151.19999999999999</v>
      </c>
      <c r="AM208" s="333">
        <v>16</v>
      </c>
      <c r="AN208" s="333" t="s">
        <v>114</v>
      </c>
      <c r="AO208" s="333"/>
      <c r="AP208" s="333"/>
      <c r="AQ208" s="333">
        <v>16.2</v>
      </c>
      <c r="AR208" s="333" t="s">
        <v>114</v>
      </c>
      <c r="AS208" s="333"/>
      <c r="AT208" s="333"/>
      <c r="AU208" s="333">
        <v>16.399999999999999</v>
      </c>
      <c r="AV208" s="333" t="s">
        <v>114</v>
      </c>
      <c r="AW208" s="333"/>
      <c r="AX208" s="333"/>
      <c r="AY208" s="333">
        <v>16.600000000000001</v>
      </c>
      <c r="AZ208" s="333" t="s">
        <v>114</v>
      </c>
      <c r="BA208" s="333"/>
      <c r="BB208" s="333"/>
      <c r="BC208" s="333">
        <v>16.8</v>
      </c>
      <c r="BD208" s="333" t="s">
        <v>114</v>
      </c>
      <c r="BE208" s="333"/>
      <c r="BF208" s="333"/>
      <c r="BG208" s="333">
        <v>17</v>
      </c>
      <c r="BH208" s="333" t="s">
        <v>114</v>
      </c>
      <c r="BI208" s="333"/>
      <c r="BJ208" s="333"/>
      <c r="BK208" s="333">
        <v>17.2</v>
      </c>
      <c r="BL208" s="333" t="s">
        <v>114</v>
      </c>
      <c r="BM208" s="333"/>
      <c r="BN208" s="333"/>
      <c r="BO208" s="333">
        <v>17.399999999999999</v>
      </c>
      <c r="BP208" s="333" t="s">
        <v>114</v>
      </c>
      <c r="BQ208" s="333"/>
      <c r="BR208" s="333"/>
      <c r="BS208" s="333">
        <v>17.600000000000001</v>
      </c>
      <c r="BT208" s="333" t="s">
        <v>114</v>
      </c>
      <c r="BU208" s="333"/>
      <c r="BV208" s="333"/>
      <c r="BW208" s="97">
        <f t="shared" si="99"/>
        <v>151.19999999999999</v>
      </c>
      <c r="BX208" s="384"/>
      <c r="BY208" s="53"/>
      <c r="BZ208" s="45"/>
      <c r="CA208" s="45"/>
      <c r="CB208" s="97"/>
      <c r="CC208" s="45"/>
      <c r="CD208" s="546"/>
      <c r="CE208" s="546"/>
      <c r="CF208" s="53"/>
      <c r="CG208" s="45"/>
      <c r="CH208" s="45"/>
      <c r="CI208" s="97"/>
      <c r="CJ208" s="45"/>
      <c r="CK208" s="546"/>
      <c r="CL208" s="546"/>
      <c r="CM208" s="53"/>
      <c r="CN208" s="45"/>
      <c r="CO208" s="45"/>
      <c r="CP208" s="97"/>
      <c r="CQ208" s="45"/>
      <c r="CR208" s="546"/>
      <c r="CS208" s="546"/>
      <c r="CT208" s="53"/>
      <c r="CU208" s="45"/>
      <c r="CV208" s="45"/>
      <c r="CW208" s="97"/>
      <c r="CX208" s="45"/>
      <c r="CY208" s="546"/>
      <c r="CZ208" s="546"/>
      <c r="DA208" s="53"/>
      <c r="DB208" s="45"/>
      <c r="DC208" s="45"/>
      <c r="DD208" s="97"/>
      <c r="DE208" s="45"/>
      <c r="DF208" s="546"/>
      <c r="DG208" s="546"/>
      <c r="DH208" s="53"/>
      <c r="DI208" s="45"/>
      <c r="DJ208" s="45"/>
      <c r="DK208" s="97"/>
      <c r="DL208" s="45"/>
      <c r="DM208" s="546"/>
      <c r="DN208" s="546"/>
    </row>
    <row r="209" spans="1:118" s="376" customFormat="1" ht="89.25">
      <c r="B209" s="526"/>
      <c r="C209" s="527"/>
      <c r="D209" s="306" t="s">
        <v>1174</v>
      </c>
      <c r="E209" s="431">
        <v>1E-3</v>
      </c>
      <c r="F209" s="438" t="s">
        <v>90</v>
      </c>
      <c r="G209" s="438" t="s">
        <v>204</v>
      </c>
      <c r="H209" s="438" t="s">
        <v>205</v>
      </c>
      <c r="I209" s="316" t="s">
        <v>206</v>
      </c>
      <c r="J209" s="385" t="s">
        <v>207</v>
      </c>
      <c r="K209" s="362">
        <v>44713</v>
      </c>
      <c r="L209" s="156">
        <v>44926</v>
      </c>
      <c r="M209" s="315" t="s">
        <v>78</v>
      </c>
      <c r="N209" s="316" t="s">
        <v>675</v>
      </c>
      <c r="O209" s="316" t="s">
        <v>1170</v>
      </c>
      <c r="P209" s="316" t="s">
        <v>87</v>
      </c>
      <c r="Q209" s="367">
        <v>0</v>
      </c>
      <c r="R209" s="316">
        <v>2022</v>
      </c>
      <c r="S209" s="372">
        <v>1</v>
      </c>
      <c r="T209" s="367"/>
      <c r="U209" s="367"/>
      <c r="V209" s="367"/>
      <c r="W209" s="367"/>
      <c r="X209" s="367"/>
      <c r="Y209" s="367"/>
      <c r="Z209" s="367"/>
      <c r="AA209" s="367"/>
      <c r="AB209" s="367">
        <v>1</v>
      </c>
      <c r="AC209" s="333">
        <v>35.72</v>
      </c>
      <c r="AD209" s="333"/>
      <c r="AE209" s="333"/>
      <c r="AF209" s="333"/>
      <c r="AG209" s="333"/>
      <c r="AH209" s="333"/>
      <c r="AI209" s="333"/>
      <c r="AJ209" s="333"/>
      <c r="AK209" s="333"/>
      <c r="AL209" s="387">
        <f t="shared" si="92"/>
        <v>35.72</v>
      </c>
      <c r="AM209" s="429">
        <v>35.72</v>
      </c>
      <c r="AN209" s="194" t="s">
        <v>114</v>
      </c>
      <c r="AO209" s="190"/>
      <c r="AP209" s="194"/>
      <c r="AQ209" s="429"/>
      <c r="AR209" s="194"/>
      <c r="AS209" s="190"/>
      <c r="AT209" s="194"/>
      <c r="AU209" s="481"/>
      <c r="AV209" s="194"/>
      <c r="AW209" s="321"/>
      <c r="AX209" s="194"/>
      <c r="AY209" s="481"/>
      <c r="AZ209" s="194"/>
      <c r="BA209" s="321"/>
      <c r="BB209" s="194"/>
      <c r="BC209" s="481"/>
      <c r="BD209" s="194"/>
      <c r="BE209" s="321"/>
      <c r="BF209" s="194"/>
      <c r="BG209" s="481"/>
      <c r="BH209" s="194"/>
      <c r="BI209" s="321"/>
      <c r="BJ209" s="194"/>
      <c r="BK209" s="481"/>
      <c r="BL209" s="194"/>
      <c r="BM209" s="321"/>
      <c r="BN209" s="194"/>
      <c r="BO209" s="481"/>
      <c r="BP209" s="194"/>
      <c r="BQ209" s="321"/>
      <c r="BR209" s="194"/>
      <c r="BS209" s="481"/>
      <c r="BT209" s="194"/>
      <c r="BU209" s="190"/>
      <c r="BV209" s="194"/>
      <c r="BW209" s="97">
        <f t="shared" si="99"/>
        <v>35.72</v>
      </c>
      <c r="BX209" s="384"/>
      <c r="BY209" s="53"/>
      <c r="BZ209" s="45"/>
      <c r="CA209" s="45"/>
      <c r="CB209" s="97"/>
      <c r="CC209" s="45"/>
      <c r="CD209" s="546"/>
      <c r="CE209" s="546"/>
      <c r="CF209" s="53"/>
      <c r="CG209" s="45"/>
      <c r="CH209" s="45"/>
      <c r="CI209" s="97"/>
      <c r="CJ209" s="45"/>
      <c r="CK209" s="546"/>
      <c r="CL209" s="546"/>
      <c r="CM209" s="53"/>
      <c r="CN209" s="45"/>
      <c r="CO209" s="45"/>
      <c r="CP209" s="97"/>
      <c r="CQ209" s="45"/>
      <c r="CR209" s="546"/>
      <c r="CS209" s="546"/>
      <c r="CT209" s="53"/>
      <c r="CU209" s="45"/>
      <c r="CV209" s="45"/>
      <c r="CW209" s="97"/>
      <c r="CX209" s="45"/>
      <c r="CY209" s="546"/>
      <c r="CZ209" s="546"/>
      <c r="DA209" s="53"/>
      <c r="DB209" s="45"/>
      <c r="DC209" s="45"/>
      <c r="DD209" s="97"/>
      <c r="DE209" s="45"/>
      <c r="DF209" s="546"/>
      <c r="DG209" s="546"/>
      <c r="DH209" s="53"/>
      <c r="DI209" s="45"/>
      <c r="DJ209" s="45"/>
      <c r="DK209" s="97"/>
      <c r="DL209" s="45"/>
      <c r="DM209" s="546"/>
      <c r="DN209" s="546"/>
    </row>
    <row r="210" spans="1:118" s="376" customFormat="1" ht="63.75">
      <c r="B210" s="526"/>
      <c r="C210" s="527"/>
      <c r="D210" s="346" t="s">
        <v>1313</v>
      </c>
      <c r="E210" s="431">
        <v>1E-3</v>
      </c>
      <c r="F210" s="438" t="s">
        <v>90</v>
      </c>
      <c r="G210" s="438" t="s">
        <v>1159</v>
      </c>
      <c r="H210" s="438" t="s">
        <v>1160</v>
      </c>
      <c r="I210" s="438" t="s">
        <v>1161</v>
      </c>
      <c r="J210" s="385" t="s">
        <v>1162</v>
      </c>
      <c r="K210" s="361">
        <v>44926</v>
      </c>
      <c r="L210" s="362">
        <v>47848</v>
      </c>
      <c r="M210" s="315" t="s">
        <v>78</v>
      </c>
      <c r="N210" s="315" t="s">
        <v>1163</v>
      </c>
      <c r="O210" s="315" t="s">
        <v>1164</v>
      </c>
      <c r="P210" s="315" t="s">
        <v>125</v>
      </c>
      <c r="Q210" s="325">
        <v>0</v>
      </c>
      <c r="R210" s="244">
        <v>2022</v>
      </c>
      <c r="S210" s="203">
        <v>0.6</v>
      </c>
      <c r="T210" s="203">
        <v>0.9</v>
      </c>
      <c r="U210" s="203">
        <v>1</v>
      </c>
      <c r="V210" s="203">
        <v>1</v>
      </c>
      <c r="W210" s="203">
        <v>1</v>
      </c>
      <c r="X210" s="203">
        <v>1</v>
      </c>
      <c r="Y210" s="203">
        <v>1</v>
      </c>
      <c r="Z210" s="203">
        <v>1</v>
      </c>
      <c r="AA210" s="203">
        <v>1</v>
      </c>
      <c r="AB210" s="203">
        <v>0.94</v>
      </c>
      <c r="AC210" s="334"/>
      <c r="AD210" s="334"/>
      <c r="AE210" s="334"/>
      <c r="AF210" s="334"/>
      <c r="AG210" s="334"/>
      <c r="AH210" s="334"/>
      <c r="AI210" s="334"/>
      <c r="AJ210" s="334"/>
      <c r="AK210" s="334"/>
      <c r="AL210" s="387" t="str">
        <f t="shared" si="92"/>
        <v/>
      </c>
      <c r="AM210" s="338"/>
      <c r="AN210" s="194" t="s">
        <v>88</v>
      </c>
      <c r="AO210" s="316"/>
      <c r="AP210" s="194"/>
      <c r="AQ210" s="338"/>
      <c r="AR210" s="194" t="s">
        <v>88</v>
      </c>
      <c r="AS210" s="316"/>
      <c r="AT210" s="194"/>
      <c r="AU210" s="338"/>
      <c r="AV210" s="194" t="s">
        <v>88</v>
      </c>
      <c r="AW210" s="316"/>
      <c r="AX210" s="194"/>
      <c r="AY210" s="338"/>
      <c r="AZ210" s="194" t="s">
        <v>88</v>
      </c>
      <c r="BA210" s="316"/>
      <c r="BB210" s="194"/>
      <c r="BC210" s="338"/>
      <c r="BD210" s="194" t="s">
        <v>88</v>
      </c>
      <c r="BE210" s="316"/>
      <c r="BF210" s="194"/>
      <c r="BG210" s="338"/>
      <c r="BH210" s="194" t="s">
        <v>88</v>
      </c>
      <c r="BI210" s="316"/>
      <c r="BJ210" s="194"/>
      <c r="BK210" s="338"/>
      <c r="BL210" s="194" t="s">
        <v>88</v>
      </c>
      <c r="BM210" s="316"/>
      <c r="BN210" s="194"/>
      <c r="BO210" s="338"/>
      <c r="BP210" s="194" t="s">
        <v>88</v>
      </c>
      <c r="BQ210" s="316"/>
      <c r="BR210" s="194"/>
      <c r="BS210" s="338"/>
      <c r="BT210" s="194" t="s">
        <v>88</v>
      </c>
      <c r="BU210" s="316"/>
      <c r="BV210" s="194"/>
      <c r="BW210" s="97" t="str">
        <f t="shared" si="99"/>
        <v/>
      </c>
      <c r="BX210" s="384"/>
      <c r="BY210" s="53"/>
      <c r="BZ210" s="45"/>
      <c r="CA210" s="45"/>
      <c r="CB210" s="97"/>
      <c r="CC210" s="45"/>
      <c r="CD210" s="546"/>
      <c r="CE210" s="546"/>
      <c r="CF210" s="53"/>
      <c r="CG210" s="45"/>
      <c r="CH210" s="45"/>
      <c r="CI210" s="97"/>
      <c r="CJ210" s="45"/>
      <c r="CK210" s="546"/>
      <c r="CL210" s="546"/>
      <c r="CM210" s="53"/>
      <c r="CN210" s="45"/>
      <c r="CO210" s="45"/>
      <c r="CP210" s="97"/>
      <c r="CQ210" s="45"/>
      <c r="CR210" s="546"/>
      <c r="CS210" s="546"/>
      <c r="CT210" s="53"/>
      <c r="CU210" s="45"/>
      <c r="CV210" s="45"/>
      <c r="CW210" s="97"/>
      <c r="CX210" s="45"/>
      <c r="CY210" s="546"/>
      <c r="CZ210" s="546"/>
      <c r="DA210" s="53"/>
      <c r="DB210" s="45"/>
      <c r="DC210" s="45"/>
      <c r="DD210" s="97"/>
      <c r="DE210" s="45"/>
      <c r="DF210" s="546"/>
      <c r="DG210" s="546"/>
      <c r="DH210" s="53"/>
      <c r="DI210" s="45"/>
      <c r="DJ210" s="45"/>
      <c r="DK210" s="97"/>
      <c r="DL210" s="45"/>
      <c r="DM210" s="546"/>
      <c r="DN210" s="546"/>
    </row>
    <row r="211" spans="1:118" ht="102">
      <c r="A211" s="19"/>
      <c r="B211" s="526"/>
      <c r="C211" s="527"/>
      <c r="D211" s="306" t="s">
        <v>1171</v>
      </c>
      <c r="E211" s="431">
        <v>1E-3</v>
      </c>
      <c r="F211" s="187" t="s">
        <v>90</v>
      </c>
      <c r="G211" s="187" t="s">
        <v>617</v>
      </c>
      <c r="H211" s="187" t="s">
        <v>669</v>
      </c>
      <c r="I211" s="187" t="s">
        <v>670</v>
      </c>
      <c r="J211" s="385" t="s">
        <v>671</v>
      </c>
      <c r="K211" s="192">
        <v>44928</v>
      </c>
      <c r="L211" s="192">
        <v>46006</v>
      </c>
      <c r="M211" s="193" t="s">
        <v>78</v>
      </c>
      <c r="N211" s="193" t="s">
        <v>672</v>
      </c>
      <c r="O211" s="193" t="s">
        <v>673</v>
      </c>
      <c r="P211" s="193" t="s">
        <v>87</v>
      </c>
      <c r="Q211" s="45">
        <v>0</v>
      </c>
      <c r="R211" s="216">
        <v>2021</v>
      </c>
      <c r="S211" s="203"/>
      <c r="T211" s="203">
        <v>0.3</v>
      </c>
      <c r="U211" s="203">
        <v>0.6</v>
      </c>
      <c r="V211" s="203">
        <v>1</v>
      </c>
      <c r="W211" s="194"/>
      <c r="X211" s="194"/>
      <c r="Y211" s="194"/>
      <c r="Z211" s="194"/>
      <c r="AA211" s="194"/>
      <c r="AB211" s="45">
        <v>1</v>
      </c>
      <c r="AC211" s="328"/>
      <c r="AD211" s="328">
        <v>19</v>
      </c>
      <c r="AE211" s="328">
        <v>20.100000000000001</v>
      </c>
      <c r="AF211" s="328">
        <v>21.2</v>
      </c>
      <c r="AG211" s="328"/>
      <c r="AH211" s="328"/>
      <c r="AI211" s="328"/>
      <c r="AJ211" s="328"/>
      <c r="AK211" s="328"/>
      <c r="AL211" s="454">
        <f t="shared" si="92"/>
        <v>60.3</v>
      </c>
      <c r="AM211" s="190"/>
      <c r="AN211" s="194"/>
      <c r="AO211" s="190"/>
      <c r="AP211" s="194"/>
      <c r="AQ211" s="240">
        <v>19</v>
      </c>
      <c r="AR211" s="194" t="s">
        <v>114</v>
      </c>
      <c r="AS211" s="190"/>
      <c r="AT211" s="194"/>
      <c r="AU211" s="240">
        <v>20.100000000000001</v>
      </c>
      <c r="AV211" s="194" t="s">
        <v>114</v>
      </c>
      <c r="AW211" s="321"/>
      <c r="AX211" s="194"/>
      <c r="AY211" s="240">
        <v>21.2</v>
      </c>
      <c r="AZ211" s="194" t="s">
        <v>114</v>
      </c>
      <c r="BA211" s="321"/>
      <c r="BB211" s="194"/>
      <c r="BC211" s="321"/>
      <c r="BD211" s="194"/>
      <c r="BE211" s="321"/>
      <c r="BF211" s="194"/>
      <c r="BG211" s="321"/>
      <c r="BH211" s="194"/>
      <c r="BI211" s="321"/>
      <c r="BJ211" s="194"/>
      <c r="BK211" s="321"/>
      <c r="BL211" s="194"/>
      <c r="BM211" s="321"/>
      <c r="BN211" s="194"/>
      <c r="BO211" s="321"/>
      <c r="BP211" s="194"/>
      <c r="BQ211" s="321"/>
      <c r="BR211" s="194"/>
      <c r="BS211" s="190"/>
      <c r="BT211" s="194"/>
      <c r="BU211" s="190"/>
      <c r="BV211" s="194"/>
      <c r="BW211" s="97">
        <f t="shared" si="99"/>
        <v>60.3</v>
      </c>
      <c r="BX211" s="384"/>
      <c r="BY211" s="53"/>
      <c r="BZ211" s="45"/>
      <c r="CA211" s="45"/>
      <c r="CB211" s="97"/>
      <c r="CC211" s="45"/>
      <c r="CD211" s="546"/>
      <c r="CE211" s="546"/>
      <c r="CF211" s="53"/>
      <c r="CG211" s="45"/>
      <c r="CH211" s="45"/>
      <c r="CI211" s="97"/>
      <c r="CJ211" s="45"/>
      <c r="CK211" s="546"/>
      <c r="CL211" s="546"/>
      <c r="CM211" s="53"/>
      <c r="CN211" s="45"/>
      <c r="CO211" s="45"/>
      <c r="CP211" s="97"/>
      <c r="CQ211" s="45"/>
      <c r="CR211" s="546"/>
      <c r="CS211" s="546"/>
      <c r="CT211" s="53"/>
      <c r="CU211" s="45"/>
      <c r="CV211" s="45"/>
      <c r="CW211" s="97"/>
      <c r="CX211" s="45"/>
      <c r="CY211" s="546"/>
      <c r="CZ211" s="546"/>
      <c r="DA211" s="53"/>
      <c r="DB211" s="45"/>
      <c r="DC211" s="45"/>
      <c r="DD211" s="97"/>
      <c r="DE211" s="45"/>
      <c r="DF211" s="546"/>
      <c r="DG211" s="546"/>
      <c r="DH211" s="53"/>
      <c r="DI211" s="45"/>
      <c r="DJ211" s="45"/>
      <c r="DK211" s="97"/>
      <c r="DL211" s="45"/>
      <c r="DM211" s="546"/>
      <c r="DN211" s="546"/>
    </row>
    <row r="212" spans="1:118" ht="114.75">
      <c r="B212" s="526"/>
      <c r="C212" s="527"/>
      <c r="D212" s="417" t="s">
        <v>1175</v>
      </c>
      <c r="E212" s="431">
        <v>1E-3</v>
      </c>
      <c r="F212" s="187" t="s">
        <v>90</v>
      </c>
      <c r="G212" s="437" t="s">
        <v>469</v>
      </c>
      <c r="H212" s="130" t="s">
        <v>680</v>
      </c>
      <c r="I212" s="130" t="s">
        <v>681</v>
      </c>
      <c r="J212" s="385" t="s">
        <v>682</v>
      </c>
      <c r="K212" s="215">
        <v>44713</v>
      </c>
      <c r="L212" s="156">
        <v>47848</v>
      </c>
      <c r="M212" s="130" t="s">
        <v>683</v>
      </c>
      <c r="N212" s="130" t="s">
        <v>1176</v>
      </c>
      <c r="O212" s="130" t="s">
        <v>1301</v>
      </c>
      <c r="P212" s="130" t="s">
        <v>87</v>
      </c>
      <c r="Q212" s="248">
        <v>0.1</v>
      </c>
      <c r="R212" s="130">
        <v>2021</v>
      </c>
      <c r="S212" s="249">
        <v>0.2</v>
      </c>
      <c r="T212" s="249">
        <v>0.3</v>
      </c>
      <c r="U212" s="249">
        <v>0.4</v>
      </c>
      <c r="V212" s="249">
        <v>0.5</v>
      </c>
      <c r="W212" s="249">
        <v>0.6</v>
      </c>
      <c r="X212" s="249">
        <v>0.7</v>
      </c>
      <c r="Y212" s="249">
        <v>0.8</v>
      </c>
      <c r="Z212" s="249">
        <v>0.9</v>
      </c>
      <c r="AA212" s="249">
        <v>1</v>
      </c>
      <c r="AB212" s="250">
        <v>1</v>
      </c>
      <c r="AC212" s="336">
        <v>84.62</v>
      </c>
      <c r="AD212" s="336">
        <v>84.62</v>
      </c>
      <c r="AE212" s="336">
        <v>84.62</v>
      </c>
      <c r="AF212" s="336">
        <v>84.62</v>
      </c>
      <c r="AG212" s="336">
        <v>84.62</v>
      </c>
      <c r="AH212" s="336">
        <v>84.62</v>
      </c>
      <c r="AI212" s="336">
        <v>84.62</v>
      </c>
      <c r="AJ212" s="336">
        <v>84.62</v>
      </c>
      <c r="AK212" s="336">
        <v>84.62</v>
      </c>
      <c r="AL212" s="454">
        <f t="shared" si="92"/>
        <v>761.58</v>
      </c>
      <c r="AM212" s="251">
        <f>36656400/1000000</f>
        <v>36.656399999999998</v>
      </c>
      <c r="AN212" s="212" t="s">
        <v>80</v>
      </c>
      <c r="AO212" s="252">
        <f>47970000/1000000</f>
        <v>47.97</v>
      </c>
      <c r="AP212" s="212" t="s">
        <v>126</v>
      </c>
      <c r="AQ212" s="251">
        <f>36656400/1000000</f>
        <v>36.656399999999998</v>
      </c>
      <c r="AR212" s="212" t="s">
        <v>80</v>
      </c>
      <c r="AS212" s="252">
        <f>47970000/1000000</f>
        <v>47.97</v>
      </c>
      <c r="AT212" s="212" t="s">
        <v>126</v>
      </c>
      <c r="AU212" s="251">
        <f>36656400/1000000</f>
        <v>36.656399999999998</v>
      </c>
      <c r="AV212" s="212" t="s">
        <v>80</v>
      </c>
      <c r="AW212" s="252">
        <f>47970000/1000000</f>
        <v>47.97</v>
      </c>
      <c r="AX212" s="212" t="s">
        <v>126</v>
      </c>
      <c r="AY212" s="251">
        <f>36656400/1000000</f>
        <v>36.656399999999998</v>
      </c>
      <c r="AZ212" s="212" t="s">
        <v>80</v>
      </c>
      <c r="BA212" s="252">
        <f>47970000/1000000</f>
        <v>47.97</v>
      </c>
      <c r="BB212" s="212" t="s">
        <v>126</v>
      </c>
      <c r="BC212" s="251">
        <f>36656400/1000000</f>
        <v>36.656399999999998</v>
      </c>
      <c r="BD212" s="212" t="s">
        <v>80</v>
      </c>
      <c r="BE212" s="252">
        <f>47970000/1000000</f>
        <v>47.97</v>
      </c>
      <c r="BF212" s="212" t="s">
        <v>126</v>
      </c>
      <c r="BG212" s="251">
        <f>36656400/1000000</f>
        <v>36.656399999999998</v>
      </c>
      <c r="BH212" s="212" t="s">
        <v>80</v>
      </c>
      <c r="BI212" s="252">
        <f>47970000/1000000</f>
        <v>47.97</v>
      </c>
      <c r="BJ212" s="212" t="s">
        <v>126</v>
      </c>
      <c r="BK212" s="251">
        <f>36656400/1000000</f>
        <v>36.656399999999998</v>
      </c>
      <c r="BL212" s="212" t="s">
        <v>80</v>
      </c>
      <c r="BM212" s="252">
        <f>47970000/1000000</f>
        <v>47.97</v>
      </c>
      <c r="BN212" s="212" t="s">
        <v>126</v>
      </c>
      <c r="BO212" s="251">
        <f>36656400/1000000</f>
        <v>36.656399999999998</v>
      </c>
      <c r="BP212" s="212" t="s">
        <v>80</v>
      </c>
      <c r="BQ212" s="252">
        <f>47970000/1000000</f>
        <v>47.97</v>
      </c>
      <c r="BR212" s="212" t="s">
        <v>126</v>
      </c>
      <c r="BS212" s="251">
        <f>36656400/1000000</f>
        <v>36.656399999999998</v>
      </c>
      <c r="BT212" s="212" t="s">
        <v>80</v>
      </c>
      <c r="BU212" s="252">
        <f>47970000/1000000</f>
        <v>47.97</v>
      </c>
      <c r="BV212" s="212" t="s">
        <v>126</v>
      </c>
      <c r="BW212" s="97">
        <f t="shared" si="99"/>
        <v>761.63759999999991</v>
      </c>
      <c r="BX212" s="384"/>
      <c r="BY212" s="53"/>
      <c r="BZ212" s="45"/>
      <c r="CA212" s="45"/>
      <c r="CB212" s="97"/>
      <c r="CC212" s="45"/>
      <c r="CD212" s="546"/>
      <c r="CE212" s="546"/>
      <c r="CF212" s="53"/>
      <c r="CG212" s="45"/>
      <c r="CH212" s="45"/>
      <c r="CI212" s="97"/>
      <c r="CJ212" s="45"/>
      <c r="CK212" s="546"/>
      <c r="CL212" s="546"/>
      <c r="CM212" s="53"/>
      <c r="CN212" s="45"/>
      <c r="CO212" s="45"/>
      <c r="CP212" s="97"/>
      <c r="CQ212" s="45"/>
      <c r="CR212" s="546"/>
      <c r="CS212" s="546"/>
      <c r="CT212" s="53"/>
      <c r="CU212" s="45"/>
      <c r="CV212" s="45"/>
      <c r="CW212" s="97"/>
      <c r="CX212" s="45"/>
      <c r="CY212" s="546"/>
      <c r="CZ212" s="546"/>
      <c r="DA212" s="53"/>
      <c r="DB212" s="45"/>
      <c r="DC212" s="45"/>
      <c r="DD212" s="97"/>
      <c r="DE212" s="45"/>
      <c r="DF212" s="546"/>
      <c r="DG212" s="546"/>
      <c r="DH212" s="53"/>
      <c r="DI212" s="45"/>
      <c r="DJ212" s="45"/>
      <c r="DK212" s="97"/>
      <c r="DL212" s="45"/>
      <c r="DM212" s="546"/>
      <c r="DN212" s="546"/>
    </row>
    <row r="213" spans="1:118" s="123" customFormat="1" ht="165.75">
      <c r="A213" s="140"/>
      <c r="B213" s="526"/>
      <c r="C213" s="527"/>
      <c r="D213" s="482" t="s">
        <v>1302</v>
      </c>
      <c r="E213" s="435" t="s">
        <v>81</v>
      </c>
      <c r="F213" s="136" t="s">
        <v>90</v>
      </c>
      <c r="G213" s="136" t="s">
        <v>640</v>
      </c>
      <c r="H213" s="136" t="s">
        <v>641</v>
      </c>
      <c r="I213" s="136" t="s">
        <v>642</v>
      </c>
      <c r="J213" s="385" t="s">
        <v>638</v>
      </c>
      <c r="K213" s="156">
        <v>44958</v>
      </c>
      <c r="L213" s="156">
        <v>45627</v>
      </c>
      <c r="M213" s="136" t="s">
        <v>78</v>
      </c>
      <c r="N213" s="136" t="s">
        <v>684</v>
      </c>
      <c r="O213" s="136" t="s">
        <v>1303</v>
      </c>
      <c r="P213" s="136" t="s">
        <v>87</v>
      </c>
      <c r="Q213" s="201">
        <v>0</v>
      </c>
      <c r="R213" s="136">
        <v>2021</v>
      </c>
      <c r="S213" s="136" t="s">
        <v>81</v>
      </c>
      <c r="T213" s="201">
        <v>0.5</v>
      </c>
      <c r="U213" s="201">
        <v>1</v>
      </c>
      <c r="V213" s="136" t="s">
        <v>81</v>
      </c>
      <c r="W213" s="136" t="s">
        <v>81</v>
      </c>
      <c r="X213" s="136" t="s">
        <v>81</v>
      </c>
      <c r="Y213" s="136" t="s">
        <v>81</v>
      </c>
      <c r="Z213" s="136" t="s">
        <v>81</v>
      </c>
      <c r="AA213" s="136" t="s">
        <v>81</v>
      </c>
      <c r="AB213" s="201">
        <v>1</v>
      </c>
      <c r="AC213" s="483" t="s">
        <v>81</v>
      </c>
      <c r="AD213" s="328">
        <v>4300</v>
      </c>
      <c r="AE213" s="484"/>
      <c r="AF213" s="430" t="s">
        <v>81</v>
      </c>
      <c r="AG213" s="430" t="s">
        <v>81</v>
      </c>
      <c r="AH213" s="430" t="s">
        <v>81</v>
      </c>
      <c r="AI213" s="430" t="s">
        <v>81</v>
      </c>
      <c r="AJ213" s="430" t="s">
        <v>81</v>
      </c>
      <c r="AK213" s="430" t="s">
        <v>81</v>
      </c>
      <c r="AL213" s="464">
        <f t="shared" si="92"/>
        <v>4300</v>
      </c>
      <c r="AM213" s="136" t="s">
        <v>81</v>
      </c>
      <c r="AN213" s="136" t="s">
        <v>81</v>
      </c>
      <c r="AO213" s="136" t="s">
        <v>81</v>
      </c>
      <c r="AP213" s="136" t="s">
        <v>81</v>
      </c>
      <c r="AQ213" s="234">
        <v>4300</v>
      </c>
      <c r="AR213" s="136" t="s">
        <v>126</v>
      </c>
      <c r="AS213" s="136" t="s">
        <v>81</v>
      </c>
      <c r="AT213" s="136" t="s">
        <v>81</v>
      </c>
      <c r="AU213" s="136" t="s">
        <v>81</v>
      </c>
      <c r="AV213" s="136" t="s">
        <v>126</v>
      </c>
      <c r="AW213" s="136" t="s">
        <v>81</v>
      </c>
      <c r="AX213" s="136" t="s">
        <v>81</v>
      </c>
      <c r="AY213" s="136" t="s">
        <v>81</v>
      </c>
      <c r="AZ213" s="136" t="s">
        <v>81</v>
      </c>
      <c r="BA213" s="136" t="s">
        <v>81</v>
      </c>
      <c r="BB213" s="136" t="s">
        <v>81</v>
      </c>
      <c r="BC213" s="136" t="s">
        <v>81</v>
      </c>
      <c r="BD213" s="136" t="s">
        <v>81</v>
      </c>
      <c r="BE213" s="136" t="s">
        <v>81</v>
      </c>
      <c r="BF213" s="136" t="s">
        <v>81</v>
      </c>
      <c r="BG213" s="136" t="s">
        <v>81</v>
      </c>
      <c r="BH213" s="136" t="s">
        <v>81</v>
      </c>
      <c r="BI213" s="136" t="s">
        <v>81</v>
      </c>
      <c r="BJ213" s="136" t="s">
        <v>81</v>
      </c>
      <c r="BK213" s="136" t="s">
        <v>81</v>
      </c>
      <c r="BL213" s="136" t="s">
        <v>81</v>
      </c>
      <c r="BM213" s="136" t="s">
        <v>81</v>
      </c>
      <c r="BN213" s="136" t="s">
        <v>81</v>
      </c>
      <c r="BO213" s="136" t="s">
        <v>81</v>
      </c>
      <c r="BP213" s="136" t="s">
        <v>81</v>
      </c>
      <c r="BQ213" s="136" t="s">
        <v>81</v>
      </c>
      <c r="BR213" s="136" t="s">
        <v>81</v>
      </c>
      <c r="BS213" s="136" t="s">
        <v>81</v>
      </c>
      <c r="BT213" s="136" t="s">
        <v>81</v>
      </c>
      <c r="BU213" s="136" t="s">
        <v>81</v>
      </c>
      <c r="BV213" s="136" t="s">
        <v>81</v>
      </c>
      <c r="BW213" s="97">
        <f t="shared" si="99"/>
        <v>4300</v>
      </c>
      <c r="BX213" s="452" t="s">
        <v>685</v>
      </c>
      <c r="BY213" s="188" t="s">
        <v>81</v>
      </c>
      <c r="BZ213" s="188" t="s">
        <v>81</v>
      </c>
      <c r="CA213" s="188" t="s">
        <v>81</v>
      </c>
      <c r="CB213" s="188" t="s">
        <v>81</v>
      </c>
      <c r="CC213" s="188" t="s">
        <v>81</v>
      </c>
      <c r="CD213" s="546"/>
      <c r="CE213" s="546"/>
      <c r="CF213" s="53"/>
      <c r="CG213" s="45"/>
      <c r="CH213" s="45"/>
      <c r="CI213" s="97"/>
      <c r="CJ213" s="45"/>
      <c r="CK213" s="546"/>
      <c r="CL213" s="546"/>
      <c r="CM213" s="53"/>
      <c r="CN213" s="45"/>
      <c r="CO213" s="45"/>
      <c r="CP213" s="97"/>
      <c r="CQ213" s="45"/>
      <c r="CR213" s="546"/>
      <c r="CS213" s="546"/>
      <c r="CT213" s="53"/>
      <c r="CU213" s="45"/>
      <c r="CV213" s="45"/>
      <c r="CW213" s="97"/>
      <c r="CX213" s="45"/>
      <c r="CY213" s="546"/>
      <c r="CZ213" s="546"/>
      <c r="DA213" s="53"/>
      <c r="DB213" s="45"/>
      <c r="DC213" s="45"/>
      <c r="DD213" s="97"/>
      <c r="DE213" s="45"/>
      <c r="DF213" s="546"/>
      <c r="DG213" s="546"/>
      <c r="DH213" s="53"/>
      <c r="DI213" s="45"/>
      <c r="DJ213" s="45"/>
      <c r="DK213" s="97"/>
      <c r="DL213" s="45"/>
      <c r="DM213" s="546"/>
      <c r="DN213" s="546"/>
    </row>
    <row r="214" spans="1:118" ht="127.5">
      <c r="B214" s="526"/>
      <c r="C214" s="527"/>
      <c r="D214" s="306" t="s">
        <v>1181</v>
      </c>
      <c r="E214" s="431">
        <v>1E-3</v>
      </c>
      <c r="F214" s="187" t="s">
        <v>90</v>
      </c>
      <c r="G214" s="187" t="s">
        <v>137</v>
      </c>
      <c r="H214" s="187" t="s">
        <v>656</v>
      </c>
      <c r="I214" s="187" t="s">
        <v>686</v>
      </c>
      <c r="J214" s="385" t="s">
        <v>687</v>
      </c>
      <c r="K214" s="192">
        <v>44682</v>
      </c>
      <c r="L214" s="156">
        <v>47848</v>
      </c>
      <c r="M214" s="193" t="s">
        <v>78</v>
      </c>
      <c r="N214" s="193" t="s">
        <v>1177</v>
      </c>
      <c r="O214" s="193" t="s">
        <v>1178</v>
      </c>
      <c r="P214" s="193" t="s">
        <v>87</v>
      </c>
      <c r="Q214" s="325">
        <v>0.05</v>
      </c>
      <c r="R214" s="206">
        <v>2021</v>
      </c>
      <c r="S214" s="325">
        <v>0.1</v>
      </c>
      <c r="T214" s="203">
        <v>0.2</v>
      </c>
      <c r="U214" s="203">
        <v>0.3</v>
      </c>
      <c r="V214" s="203">
        <v>0.4</v>
      </c>
      <c r="W214" s="203">
        <v>0.5</v>
      </c>
      <c r="X214" s="203">
        <v>0.6</v>
      </c>
      <c r="Y214" s="203">
        <v>0.7</v>
      </c>
      <c r="Z214" s="203">
        <v>0.8</v>
      </c>
      <c r="AA214" s="203">
        <v>1</v>
      </c>
      <c r="AB214" s="325">
        <v>1</v>
      </c>
      <c r="AC214" s="328">
        <f>(74.16/7)*12</f>
        <v>127.13142857142857</v>
      </c>
      <c r="AD214" s="328">
        <f>229</f>
        <v>229</v>
      </c>
      <c r="AE214" s="328">
        <v>265</v>
      </c>
      <c r="AF214" s="328">
        <v>278</v>
      </c>
      <c r="AG214" s="328">
        <v>292</v>
      </c>
      <c r="AH214" s="328">
        <v>306</v>
      </c>
      <c r="AI214" s="328">
        <v>322</v>
      </c>
      <c r="AJ214" s="328">
        <v>338</v>
      </c>
      <c r="AK214" s="328">
        <v>354</v>
      </c>
      <c r="AL214" s="454">
        <f t="shared" si="92"/>
        <v>2511.1314285714288</v>
      </c>
      <c r="AM214" s="190">
        <v>127</v>
      </c>
      <c r="AN214" s="196" t="s">
        <v>80</v>
      </c>
      <c r="AO214" s="190"/>
      <c r="AP214" s="196"/>
      <c r="AQ214" s="190">
        <v>229</v>
      </c>
      <c r="AR214" s="196" t="s">
        <v>80</v>
      </c>
      <c r="AS214" s="190"/>
      <c r="AT214" s="196"/>
      <c r="AU214" s="190">
        <v>265</v>
      </c>
      <c r="AV214" s="196" t="s">
        <v>80</v>
      </c>
      <c r="AW214" s="321"/>
      <c r="AX214" s="196"/>
      <c r="AY214" s="190">
        <v>278</v>
      </c>
      <c r="AZ214" s="196" t="s">
        <v>80</v>
      </c>
      <c r="BA214" s="321"/>
      <c r="BB214" s="196"/>
      <c r="BC214" s="190">
        <v>292</v>
      </c>
      <c r="BD214" s="196" t="s">
        <v>80</v>
      </c>
      <c r="BE214" s="321"/>
      <c r="BF214" s="196"/>
      <c r="BG214" s="190">
        <v>306</v>
      </c>
      <c r="BH214" s="196" t="s">
        <v>80</v>
      </c>
      <c r="BI214" s="321"/>
      <c r="BJ214" s="196"/>
      <c r="BK214" s="190">
        <v>322</v>
      </c>
      <c r="BL214" s="196" t="s">
        <v>80</v>
      </c>
      <c r="BM214" s="321"/>
      <c r="BN214" s="196"/>
      <c r="BO214" s="190">
        <v>338</v>
      </c>
      <c r="BP214" s="196" t="s">
        <v>80</v>
      </c>
      <c r="BQ214" s="321"/>
      <c r="BR214" s="196"/>
      <c r="BS214" s="190">
        <v>354</v>
      </c>
      <c r="BT214" s="196" t="s">
        <v>80</v>
      </c>
      <c r="BU214" s="190"/>
      <c r="BV214" s="196"/>
      <c r="BW214" s="97">
        <f t="shared" si="99"/>
        <v>2511</v>
      </c>
      <c r="BX214" s="384"/>
      <c r="BY214" s="53"/>
      <c r="BZ214" s="45"/>
      <c r="CA214" s="45"/>
      <c r="CB214" s="97"/>
      <c r="CC214" s="45"/>
      <c r="CD214" s="546"/>
      <c r="CE214" s="546"/>
      <c r="CF214" s="53"/>
      <c r="CG214" s="45"/>
      <c r="CH214" s="45"/>
      <c r="CI214" s="97"/>
      <c r="CJ214" s="45"/>
      <c r="CK214" s="546"/>
      <c r="CL214" s="546"/>
      <c r="CM214" s="53"/>
      <c r="CN214" s="45"/>
      <c r="CO214" s="45"/>
      <c r="CP214" s="97"/>
      <c r="CQ214" s="45"/>
      <c r="CR214" s="546"/>
      <c r="CS214" s="546"/>
      <c r="CT214" s="53"/>
      <c r="CU214" s="45"/>
      <c r="CV214" s="45"/>
      <c r="CW214" s="97"/>
      <c r="CX214" s="45"/>
      <c r="CY214" s="546"/>
      <c r="CZ214" s="546"/>
      <c r="DA214" s="53"/>
      <c r="DB214" s="45"/>
      <c r="DC214" s="45"/>
      <c r="DD214" s="97"/>
      <c r="DE214" s="45"/>
      <c r="DF214" s="546"/>
      <c r="DG214" s="546"/>
      <c r="DH214" s="53"/>
      <c r="DI214" s="45"/>
      <c r="DJ214" s="45"/>
      <c r="DK214" s="97"/>
      <c r="DL214" s="45"/>
      <c r="DM214" s="546"/>
      <c r="DN214" s="546"/>
    </row>
    <row r="215" spans="1:118" ht="127.5">
      <c r="B215" s="526"/>
      <c r="C215" s="527"/>
      <c r="D215" s="306" t="s">
        <v>1182</v>
      </c>
      <c r="E215" s="431">
        <v>1E-3</v>
      </c>
      <c r="F215" s="187" t="s">
        <v>90</v>
      </c>
      <c r="G215" s="187" t="s">
        <v>137</v>
      </c>
      <c r="H215" s="187" t="s">
        <v>656</v>
      </c>
      <c r="I215" s="187" t="s">
        <v>688</v>
      </c>
      <c r="J215" s="385" t="s">
        <v>687</v>
      </c>
      <c r="K215" s="192">
        <v>44958</v>
      </c>
      <c r="L215" s="156">
        <v>47848</v>
      </c>
      <c r="M215" s="193" t="s">
        <v>78</v>
      </c>
      <c r="N215" s="193" t="s">
        <v>1179</v>
      </c>
      <c r="O215" s="193" t="s">
        <v>1304</v>
      </c>
      <c r="P215" s="193" t="s">
        <v>87</v>
      </c>
      <c r="Q215" s="325">
        <v>0</v>
      </c>
      <c r="R215" s="206">
        <v>2021</v>
      </c>
      <c r="S215" s="325"/>
      <c r="T215" s="203">
        <v>0.05</v>
      </c>
      <c r="U215" s="203">
        <v>0.15</v>
      </c>
      <c r="V215" s="203">
        <v>0.25</v>
      </c>
      <c r="W215" s="203">
        <v>0.35</v>
      </c>
      <c r="X215" s="203">
        <v>0.45</v>
      </c>
      <c r="Y215" s="325">
        <v>0.6</v>
      </c>
      <c r="Z215" s="325">
        <v>0.7</v>
      </c>
      <c r="AA215" s="325">
        <v>1</v>
      </c>
      <c r="AB215" s="325">
        <v>1</v>
      </c>
      <c r="AC215" s="328"/>
      <c r="AD215" s="328">
        <v>259.07639999999998</v>
      </c>
      <c r="AE215" s="328">
        <v>273.40302000000003</v>
      </c>
      <c r="AF215" s="328">
        <v>288.50088299999999</v>
      </c>
      <c r="AG215" s="328">
        <v>304.41074807999996</v>
      </c>
      <c r="AH215" s="328">
        <v>321.17549788319997</v>
      </c>
      <c r="AI215" s="328">
        <v>338.84025455852793</v>
      </c>
      <c r="AJ215" s="328">
        <v>357.45248914086909</v>
      </c>
      <c r="AK215" s="328">
        <v>377.06214334650383</v>
      </c>
      <c r="AL215" s="454">
        <f t="shared" si="92"/>
        <v>2519.9214360091009</v>
      </c>
      <c r="AM215" s="190"/>
      <c r="AN215" s="196"/>
      <c r="AO215" s="190"/>
      <c r="AP215" s="196"/>
      <c r="AQ215" s="190">
        <f>AD215</f>
        <v>259.07639999999998</v>
      </c>
      <c r="AR215" s="196" t="s">
        <v>80</v>
      </c>
      <c r="AS215" s="190"/>
      <c r="AT215" s="196"/>
      <c r="AU215" s="190">
        <f>AE215</f>
        <v>273.40302000000003</v>
      </c>
      <c r="AV215" s="196" t="s">
        <v>80</v>
      </c>
      <c r="AW215" s="321"/>
      <c r="AX215" s="196"/>
      <c r="AY215" s="190">
        <f>AF215</f>
        <v>288.50088299999999</v>
      </c>
      <c r="AZ215" s="196" t="s">
        <v>80</v>
      </c>
      <c r="BA215" s="321"/>
      <c r="BB215" s="196"/>
      <c r="BC215" s="190">
        <f>AG215</f>
        <v>304.41074807999996</v>
      </c>
      <c r="BD215" s="196" t="s">
        <v>80</v>
      </c>
      <c r="BE215" s="321"/>
      <c r="BF215" s="196"/>
      <c r="BG215" s="190">
        <f>AH215</f>
        <v>321.17549788319997</v>
      </c>
      <c r="BH215" s="196" t="s">
        <v>80</v>
      </c>
      <c r="BI215" s="321"/>
      <c r="BJ215" s="196"/>
      <c r="BK215" s="190">
        <f>AI215</f>
        <v>338.84025455852793</v>
      </c>
      <c r="BL215" s="196" t="s">
        <v>80</v>
      </c>
      <c r="BM215" s="321"/>
      <c r="BN215" s="196"/>
      <c r="BO215" s="190">
        <f>AJ215</f>
        <v>357.45248914086909</v>
      </c>
      <c r="BP215" s="196" t="s">
        <v>80</v>
      </c>
      <c r="BQ215" s="321"/>
      <c r="BR215" s="196"/>
      <c r="BS215" s="190">
        <f>AK215</f>
        <v>377.06214334650383</v>
      </c>
      <c r="BT215" s="196" t="s">
        <v>80</v>
      </c>
      <c r="BU215" s="190"/>
      <c r="BV215" s="196"/>
      <c r="BW215" s="97">
        <f t="shared" si="99"/>
        <v>2519.9214360091009</v>
      </c>
      <c r="BX215" s="384"/>
      <c r="BY215" s="53"/>
      <c r="BZ215" s="45"/>
      <c r="CA215" s="45"/>
      <c r="CB215" s="97"/>
      <c r="CC215" s="45"/>
      <c r="CD215" s="546"/>
      <c r="CE215" s="546"/>
      <c r="CF215" s="53"/>
      <c r="CG215" s="45"/>
      <c r="CH215" s="45"/>
      <c r="CI215" s="97"/>
      <c r="CJ215" s="45"/>
      <c r="CK215" s="546"/>
      <c r="CL215" s="546"/>
      <c r="CM215" s="53"/>
      <c r="CN215" s="45"/>
      <c r="CO215" s="45"/>
      <c r="CP215" s="97"/>
      <c r="CQ215" s="45"/>
      <c r="CR215" s="546"/>
      <c r="CS215" s="546"/>
      <c r="CT215" s="53"/>
      <c r="CU215" s="45"/>
      <c r="CV215" s="45"/>
      <c r="CW215" s="97"/>
      <c r="CX215" s="45"/>
      <c r="CY215" s="546"/>
      <c r="CZ215" s="546"/>
      <c r="DA215" s="53"/>
      <c r="DB215" s="45"/>
      <c r="DC215" s="45"/>
      <c r="DD215" s="97"/>
      <c r="DE215" s="45"/>
      <c r="DF215" s="546"/>
      <c r="DG215" s="546"/>
      <c r="DH215" s="53"/>
      <c r="DI215" s="45"/>
      <c r="DJ215" s="45"/>
      <c r="DK215" s="97"/>
      <c r="DL215" s="45"/>
      <c r="DM215" s="546"/>
      <c r="DN215" s="546"/>
    </row>
    <row r="216" spans="1:118" s="376" customFormat="1" ht="229.5">
      <c r="B216" s="526"/>
      <c r="C216" s="527"/>
      <c r="D216" s="306" t="s">
        <v>1183</v>
      </c>
      <c r="E216" s="431">
        <v>1E-3</v>
      </c>
      <c r="F216" s="438" t="s">
        <v>90</v>
      </c>
      <c r="G216" s="438" t="s">
        <v>657</v>
      </c>
      <c r="H216" s="438" t="s">
        <v>658</v>
      </c>
      <c r="I216" s="438" t="s">
        <v>659</v>
      </c>
      <c r="J216" s="385" t="s">
        <v>660</v>
      </c>
      <c r="K216" s="361">
        <v>44927</v>
      </c>
      <c r="L216" s="192">
        <v>45291</v>
      </c>
      <c r="M216" s="315" t="s">
        <v>78</v>
      </c>
      <c r="N216" s="315" t="s">
        <v>1305</v>
      </c>
      <c r="O216" s="315" t="s">
        <v>1306</v>
      </c>
      <c r="P216" s="315" t="s">
        <v>87</v>
      </c>
      <c r="Q216" s="325">
        <v>0</v>
      </c>
      <c r="R216" s="244">
        <v>2022</v>
      </c>
      <c r="S216" s="325"/>
      <c r="T216" s="325">
        <v>1</v>
      </c>
      <c r="U216" s="194"/>
      <c r="V216" s="194"/>
      <c r="W216" s="194"/>
      <c r="X216" s="194"/>
      <c r="Y216" s="194"/>
      <c r="Z216" s="194"/>
      <c r="AA216" s="194"/>
      <c r="AB216" s="325">
        <v>1</v>
      </c>
      <c r="AC216" s="328"/>
      <c r="AD216" s="328">
        <v>80</v>
      </c>
      <c r="AE216" s="328"/>
      <c r="AF216" s="328"/>
      <c r="AG216" s="328"/>
      <c r="AH216" s="328"/>
      <c r="AI216" s="328"/>
      <c r="AJ216" s="328"/>
      <c r="AK216" s="328"/>
      <c r="AL216" s="387">
        <f t="shared" si="92"/>
        <v>80</v>
      </c>
      <c r="AM216" s="314"/>
      <c r="AN216" s="314"/>
      <c r="AO216" s="314"/>
      <c r="AP216" s="314"/>
      <c r="AQ216" s="190">
        <f>IF(SUM(AH216:AP216)=0,"",SUM(AH216:AP216))</f>
        <v>80</v>
      </c>
      <c r="AR216" s="314" t="s">
        <v>80</v>
      </c>
      <c r="AS216" s="314"/>
      <c r="AT216" s="314"/>
      <c r="AU216" s="314"/>
      <c r="AV216" s="314"/>
      <c r="AW216" s="314"/>
      <c r="AX216" s="314"/>
      <c r="AY216" s="314"/>
      <c r="AZ216" s="314"/>
      <c r="BA216" s="314"/>
      <c r="BB216" s="314"/>
      <c r="BC216" s="314"/>
      <c r="BD216" s="314"/>
      <c r="BE216" s="314"/>
      <c r="BF216" s="314"/>
      <c r="BG216" s="314"/>
      <c r="BH216" s="314"/>
      <c r="BI216" s="314"/>
      <c r="BJ216" s="314"/>
      <c r="BK216" s="314"/>
      <c r="BL216" s="314"/>
      <c r="BM216" s="314"/>
      <c r="BN216" s="314"/>
      <c r="BO216" s="314"/>
      <c r="BP216" s="314"/>
      <c r="BQ216" s="314"/>
      <c r="BR216" s="314"/>
      <c r="BS216" s="314"/>
      <c r="BT216" s="314"/>
      <c r="BU216" s="314"/>
      <c r="BV216" s="314"/>
      <c r="BW216" s="97">
        <f t="shared" si="99"/>
        <v>80</v>
      </c>
      <c r="BX216" s="384"/>
      <c r="BY216" s="53"/>
      <c r="BZ216" s="45"/>
      <c r="CA216" s="45"/>
      <c r="CB216" s="97"/>
      <c r="CC216" s="45"/>
      <c r="CD216" s="546"/>
      <c r="CE216" s="546"/>
      <c r="CF216" s="53"/>
      <c r="CG216" s="45"/>
      <c r="CH216" s="45"/>
      <c r="CI216" s="97"/>
      <c r="CJ216" s="45"/>
      <c r="CK216" s="546"/>
      <c r="CL216" s="546"/>
      <c r="CM216" s="53"/>
      <c r="CN216" s="45"/>
      <c r="CO216" s="45"/>
      <c r="CP216" s="97"/>
      <c r="CQ216" s="45"/>
      <c r="CR216" s="546"/>
      <c r="CS216" s="546"/>
      <c r="CT216" s="53"/>
      <c r="CU216" s="45"/>
      <c r="CV216" s="45"/>
      <c r="CW216" s="97"/>
      <c r="CX216" s="45"/>
      <c r="CY216" s="546"/>
      <c r="CZ216" s="546"/>
      <c r="DA216" s="53"/>
      <c r="DB216" s="45"/>
      <c r="DC216" s="45"/>
      <c r="DD216" s="97"/>
      <c r="DE216" s="45"/>
      <c r="DF216" s="546"/>
      <c r="DG216" s="546"/>
      <c r="DH216" s="53"/>
      <c r="DI216" s="45"/>
      <c r="DJ216" s="45"/>
      <c r="DK216" s="97"/>
      <c r="DL216" s="45"/>
      <c r="DM216" s="546"/>
      <c r="DN216" s="546"/>
    </row>
    <row r="217" spans="1:118" s="376" customFormat="1" ht="114.75">
      <c r="B217" s="526"/>
      <c r="C217" s="527"/>
      <c r="D217" s="306" t="s">
        <v>1184</v>
      </c>
      <c r="E217" s="431">
        <v>1E-3</v>
      </c>
      <c r="F217" s="438" t="s">
        <v>90</v>
      </c>
      <c r="G217" s="438" t="s">
        <v>549</v>
      </c>
      <c r="H217" s="316" t="s">
        <v>661</v>
      </c>
      <c r="I217" s="438" t="s">
        <v>662</v>
      </c>
      <c r="J217" s="385" t="s">
        <v>663</v>
      </c>
      <c r="K217" s="361">
        <v>44713</v>
      </c>
      <c r="L217" s="156">
        <v>47848</v>
      </c>
      <c r="M217" s="315" t="s">
        <v>97</v>
      </c>
      <c r="N217" s="316" t="s">
        <v>664</v>
      </c>
      <c r="O217" s="371" t="s">
        <v>1180</v>
      </c>
      <c r="P217" s="315" t="s">
        <v>87</v>
      </c>
      <c r="Q217" s="196">
        <v>0</v>
      </c>
      <c r="R217" s="197">
        <v>2022</v>
      </c>
      <c r="S217" s="410">
        <v>0.14400000000000002</v>
      </c>
      <c r="T217" s="410">
        <v>0.48799999999999999</v>
      </c>
      <c r="U217" s="410">
        <v>0.73199999999999998</v>
      </c>
      <c r="V217" s="410">
        <v>0.77600000000000002</v>
      </c>
      <c r="W217" s="410">
        <v>0.82000000000000006</v>
      </c>
      <c r="X217" s="410">
        <v>0.8640000000000001</v>
      </c>
      <c r="Y217" s="410">
        <v>0.90800000000000014</v>
      </c>
      <c r="Z217" s="410">
        <v>0.95200000000000018</v>
      </c>
      <c r="AA217" s="410">
        <v>1</v>
      </c>
      <c r="AB217" s="410">
        <v>1</v>
      </c>
      <c r="AC217" s="328"/>
      <c r="AD217" s="328">
        <v>40</v>
      </c>
      <c r="AE217" s="328">
        <v>45</v>
      </c>
      <c r="AF217" s="328">
        <v>50</v>
      </c>
      <c r="AG217" s="328">
        <v>55</v>
      </c>
      <c r="AH217" s="328">
        <v>60</v>
      </c>
      <c r="AI217" s="328">
        <v>65</v>
      </c>
      <c r="AJ217" s="328">
        <v>70</v>
      </c>
      <c r="AK217" s="328">
        <v>75</v>
      </c>
      <c r="AL217" s="387">
        <f t="shared" si="92"/>
        <v>460</v>
      </c>
      <c r="AM217" s="314"/>
      <c r="AN217" s="314" t="s">
        <v>88</v>
      </c>
      <c r="AO217" s="314"/>
      <c r="AP217" s="314"/>
      <c r="AQ217" s="314"/>
      <c r="AR217" s="314" t="s">
        <v>88</v>
      </c>
      <c r="AS217" s="314"/>
      <c r="AT217" s="314"/>
      <c r="AU217" s="314"/>
      <c r="AV217" s="314" t="s">
        <v>88</v>
      </c>
      <c r="AW217" s="314"/>
      <c r="AX217" s="314"/>
      <c r="AY217" s="314"/>
      <c r="AZ217" s="314" t="s">
        <v>88</v>
      </c>
      <c r="BA217" s="314"/>
      <c r="BB217" s="314"/>
      <c r="BC217" s="314"/>
      <c r="BD217" s="314" t="s">
        <v>88</v>
      </c>
      <c r="BE217" s="314"/>
      <c r="BF217" s="314"/>
      <c r="BG217" s="314"/>
      <c r="BH217" s="314" t="s">
        <v>88</v>
      </c>
      <c r="BI217" s="314"/>
      <c r="BJ217" s="314"/>
      <c r="BK217" s="314"/>
      <c r="BL217" s="314" t="s">
        <v>88</v>
      </c>
      <c r="BM217" s="314"/>
      <c r="BN217" s="314"/>
      <c r="BO217" s="314"/>
      <c r="BP217" s="314" t="s">
        <v>88</v>
      </c>
      <c r="BQ217" s="314"/>
      <c r="BR217" s="314"/>
      <c r="BS217" s="314"/>
      <c r="BT217" s="314" t="s">
        <v>88</v>
      </c>
      <c r="BU217" s="314"/>
      <c r="BV217" s="314"/>
      <c r="BW217" s="97" t="str">
        <f t="shared" si="99"/>
        <v/>
      </c>
      <c r="BX217" s="384"/>
      <c r="BY217" s="53"/>
      <c r="BZ217" s="45"/>
      <c r="CA217" s="45"/>
      <c r="CB217" s="97"/>
      <c r="CC217" s="45"/>
      <c r="CD217" s="546"/>
      <c r="CE217" s="546"/>
      <c r="CF217" s="53"/>
      <c r="CG217" s="45"/>
      <c r="CH217" s="45"/>
      <c r="CI217" s="97"/>
      <c r="CJ217" s="45"/>
      <c r="CK217" s="546"/>
      <c r="CL217" s="546"/>
      <c r="CM217" s="53"/>
      <c r="CN217" s="45"/>
      <c r="CO217" s="45"/>
      <c r="CP217" s="97"/>
      <c r="CQ217" s="45"/>
      <c r="CR217" s="546"/>
      <c r="CS217" s="546"/>
      <c r="CT217" s="53"/>
      <c r="CU217" s="45"/>
      <c r="CV217" s="45"/>
      <c r="CW217" s="97"/>
      <c r="CX217" s="45"/>
      <c r="CY217" s="546"/>
      <c r="CZ217" s="546"/>
      <c r="DA217" s="53"/>
      <c r="DB217" s="45"/>
      <c r="DC217" s="45"/>
      <c r="DD217" s="97"/>
      <c r="DE217" s="45"/>
      <c r="DF217" s="546"/>
      <c r="DG217" s="546"/>
      <c r="DH217" s="53"/>
      <c r="DI217" s="45"/>
      <c r="DJ217" s="45"/>
      <c r="DK217" s="97"/>
      <c r="DL217" s="45"/>
      <c r="DM217" s="546"/>
      <c r="DN217" s="546"/>
    </row>
    <row r="218" spans="1:118" s="376" customFormat="1" ht="102">
      <c r="B218" s="526"/>
      <c r="C218" s="527"/>
      <c r="D218" s="377" t="s">
        <v>1185</v>
      </c>
      <c r="E218" s="431">
        <v>0.01</v>
      </c>
      <c r="F218" s="438" t="s">
        <v>90</v>
      </c>
      <c r="G218" s="316" t="s">
        <v>335</v>
      </c>
      <c r="H218" s="316" t="s">
        <v>336</v>
      </c>
      <c r="I218" s="316" t="s">
        <v>337</v>
      </c>
      <c r="J218" s="385" t="s">
        <v>338</v>
      </c>
      <c r="K218" s="362">
        <v>44927</v>
      </c>
      <c r="L218" s="192">
        <v>46022</v>
      </c>
      <c r="M218" s="316" t="s">
        <v>97</v>
      </c>
      <c r="N218" s="316" t="s">
        <v>665</v>
      </c>
      <c r="O218" s="316" t="s">
        <v>666</v>
      </c>
      <c r="P218" s="316" t="s">
        <v>87</v>
      </c>
      <c r="Q218" s="372">
        <v>0</v>
      </c>
      <c r="R218" s="338">
        <v>2022</v>
      </c>
      <c r="S218" s="386"/>
      <c r="T218" s="367">
        <v>0.3</v>
      </c>
      <c r="U218" s="367">
        <v>0.8</v>
      </c>
      <c r="V218" s="367">
        <v>1</v>
      </c>
      <c r="W218" s="393"/>
      <c r="X218" s="386"/>
      <c r="Y218" s="386"/>
      <c r="Z218" s="386"/>
      <c r="AA218" s="386"/>
      <c r="AB218" s="367">
        <v>1</v>
      </c>
      <c r="AC218" s="334"/>
      <c r="AD218" s="328">
        <v>26</v>
      </c>
      <c r="AE218" s="328">
        <f>650+50</f>
        <v>700</v>
      </c>
      <c r="AF218" s="328">
        <f>19+20</f>
        <v>39</v>
      </c>
      <c r="AG218" s="328"/>
      <c r="AH218" s="328"/>
      <c r="AI218" s="333"/>
      <c r="AJ218" s="333"/>
      <c r="AK218" s="333"/>
      <c r="AL218" s="387">
        <f t="shared" si="92"/>
        <v>765</v>
      </c>
      <c r="AM218" s="340"/>
      <c r="AN218" s="381"/>
      <c r="AO218" s="339"/>
      <c r="AP218" s="316"/>
      <c r="AQ218" s="381">
        <v>26</v>
      </c>
      <c r="AR218" s="316" t="s">
        <v>114</v>
      </c>
      <c r="AS218" s="381"/>
      <c r="AT218" s="316"/>
      <c r="AU218" s="381">
        <f>650+50</f>
        <v>700</v>
      </c>
      <c r="AV218" s="316" t="s">
        <v>114</v>
      </c>
      <c r="AW218" s="381"/>
      <c r="AX218" s="316"/>
      <c r="AY218" s="381">
        <f>19+20</f>
        <v>39</v>
      </c>
      <c r="AZ218" s="316" t="s">
        <v>114</v>
      </c>
      <c r="BA218" s="381"/>
      <c r="BB218" s="316"/>
      <c r="BC218" s="339"/>
      <c r="BD218" s="316"/>
      <c r="BE218" s="381"/>
      <c r="BF218" s="316"/>
      <c r="BG218" s="339"/>
      <c r="BH218" s="316"/>
      <c r="BI218" s="339"/>
      <c r="BJ218" s="316"/>
      <c r="BK218" s="339"/>
      <c r="BL218" s="316"/>
      <c r="BM218" s="339"/>
      <c r="BN218" s="316"/>
      <c r="BO218" s="339"/>
      <c r="BP218" s="316"/>
      <c r="BQ218" s="339"/>
      <c r="BR218" s="316"/>
      <c r="BS218" s="339"/>
      <c r="BT218" s="316"/>
      <c r="BU218" s="339"/>
      <c r="BV218" s="316"/>
      <c r="BW218" s="97">
        <f t="shared" si="99"/>
        <v>765</v>
      </c>
      <c r="BX218" s="384"/>
      <c r="BY218" s="313"/>
      <c r="BZ218" s="45"/>
      <c r="CA218" s="45"/>
      <c r="CB218" s="97"/>
      <c r="CC218" s="45"/>
      <c r="CD218" s="546"/>
      <c r="CE218" s="546"/>
      <c r="CF218" s="313"/>
      <c r="CG218" s="45"/>
      <c r="CH218" s="45"/>
      <c r="CI218" s="97"/>
      <c r="CJ218" s="45"/>
      <c r="CK218" s="546"/>
      <c r="CL218" s="546"/>
      <c r="CM218" s="313"/>
      <c r="CN218" s="45"/>
      <c r="CO218" s="45"/>
      <c r="CP218" s="97"/>
      <c r="CQ218" s="45"/>
      <c r="CR218" s="546"/>
      <c r="CS218" s="546"/>
      <c r="CT218" s="313"/>
      <c r="CU218" s="45"/>
      <c r="CV218" s="45"/>
      <c r="CW218" s="97"/>
      <c r="CX218" s="45"/>
      <c r="CY218" s="546"/>
      <c r="CZ218" s="546"/>
      <c r="DA218" s="313"/>
      <c r="DB218" s="45"/>
      <c r="DC218" s="45"/>
      <c r="DD218" s="97"/>
      <c r="DE218" s="45"/>
      <c r="DF218" s="546"/>
      <c r="DG218" s="546"/>
      <c r="DH218" s="313"/>
      <c r="DI218" s="45"/>
      <c r="DJ218" s="45"/>
      <c r="DK218" s="97"/>
      <c r="DL218" s="45"/>
      <c r="DM218" s="546"/>
      <c r="DN218" s="546"/>
    </row>
    <row r="219" spans="1:118" s="343" customFormat="1" ht="178.5">
      <c r="A219" s="343" t="s">
        <v>667</v>
      </c>
      <c r="B219" s="526"/>
      <c r="C219" s="527"/>
      <c r="D219" s="377" t="s">
        <v>1186</v>
      </c>
      <c r="E219" s="431">
        <v>5.0000000000000001E-3</v>
      </c>
      <c r="F219" s="438" t="s">
        <v>90</v>
      </c>
      <c r="G219" s="316" t="s">
        <v>335</v>
      </c>
      <c r="H219" s="316" t="s">
        <v>336</v>
      </c>
      <c r="I219" s="316" t="s">
        <v>337</v>
      </c>
      <c r="J219" s="385" t="s">
        <v>338</v>
      </c>
      <c r="K219" s="362">
        <v>44713</v>
      </c>
      <c r="L219" s="156">
        <v>47848</v>
      </c>
      <c r="M219" s="316" t="s">
        <v>97</v>
      </c>
      <c r="N219" s="316" t="s">
        <v>668</v>
      </c>
      <c r="O219" s="316" t="s">
        <v>1307</v>
      </c>
      <c r="P219" s="316" t="s">
        <v>87</v>
      </c>
      <c r="Q219" s="372">
        <v>0</v>
      </c>
      <c r="R219" s="316">
        <v>2022</v>
      </c>
      <c r="S219" s="367">
        <v>0.05</v>
      </c>
      <c r="T219" s="367">
        <v>0.1</v>
      </c>
      <c r="U219" s="367">
        <v>0.15</v>
      </c>
      <c r="V219" s="367">
        <v>0.3</v>
      </c>
      <c r="W219" s="367">
        <v>0.44500000000000001</v>
      </c>
      <c r="X219" s="367">
        <v>0.59</v>
      </c>
      <c r="Y219" s="367">
        <v>0.73499999999999999</v>
      </c>
      <c r="Z219" s="367">
        <v>0.88</v>
      </c>
      <c r="AA219" s="367">
        <v>1</v>
      </c>
      <c r="AB219" s="367">
        <v>1</v>
      </c>
      <c r="AC219" s="334"/>
      <c r="AD219" s="328"/>
      <c r="AE219" s="328">
        <v>12.6</v>
      </c>
      <c r="AF219" s="328">
        <v>212.8</v>
      </c>
      <c r="AG219" s="328">
        <v>217.8</v>
      </c>
      <c r="AH219" s="328">
        <v>121</v>
      </c>
      <c r="AI219" s="328">
        <v>98.88</v>
      </c>
      <c r="AJ219" s="333">
        <v>101.846</v>
      </c>
      <c r="AK219" s="333"/>
      <c r="AL219" s="467">
        <f t="shared" si="92"/>
        <v>764.92600000000004</v>
      </c>
      <c r="AM219" s="340"/>
      <c r="AN219" s="319" t="s">
        <v>88</v>
      </c>
      <c r="AO219" s="339"/>
      <c r="AP219" s="316"/>
      <c r="AQ219" s="381"/>
      <c r="AR219" s="319" t="s">
        <v>88</v>
      </c>
      <c r="AS219" s="381"/>
      <c r="AT219" s="316"/>
      <c r="AU219" s="381">
        <v>12.6</v>
      </c>
      <c r="AV219" s="316" t="s">
        <v>114</v>
      </c>
      <c r="AW219" s="381"/>
      <c r="AX219" s="316"/>
      <c r="AY219" s="381">
        <v>212.8</v>
      </c>
      <c r="AZ219" s="316" t="s">
        <v>114</v>
      </c>
      <c r="BA219" s="381"/>
      <c r="BB219" s="316"/>
      <c r="BC219" s="381">
        <v>217.8</v>
      </c>
      <c r="BD219" s="316" t="s">
        <v>114</v>
      </c>
      <c r="BE219" s="395"/>
      <c r="BF219" s="395"/>
      <c r="BG219" s="381">
        <v>121</v>
      </c>
      <c r="BH219" s="316" t="s">
        <v>114</v>
      </c>
      <c r="BI219" s="395"/>
      <c r="BJ219" s="395"/>
      <c r="BK219" s="339"/>
      <c r="BL219" s="381">
        <v>98.88</v>
      </c>
      <c r="BM219" s="316" t="s">
        <v>114</v>
      </c>
      <c r="BN219" s="340"/>
      <c r="BO219" s="340">
        <v>101.846</v>
      </c>
      <c r="BP219" s="316" t="s">
        <v>114</v>
      </c>
      <c r="BQ219" s="340"/>
      <c r="BR219" s="316"/>
      <c r="BS219" s="339"/>
      <c r="BT219" s="316"/>
      <c r="BU219" s="340"/>
      <c r="BV219" s="316"/>
      <c r="BW219" s="97">
        <f t="shared" si="99"/>
        <v>764.92600000000004</v>
      </c>
      <c r="BX219" s="450"/>
      <c r="BY219" s="313"/>
      <c r="BZ219" s="45"/>
      <c r="CA219" s="45"/>
      <c r="CB219" s="97"/>
      <c r="CC219" s="45"/>
      <c r="CD219" s="546"/>
      <c r="CE219" s="546"/>
      <c r="CF219" s="313"/>
      <c r="CG219" s="45"/>
      <c r="CH219" s="45"/>
      <c r="CI219" s="97"/>
      <c r="CJ219" s="45"/>
      <c r="CK219" s="546"/>
      <c r="CL219" s="546"/>
      <c r="CM219" s="313"/>
      <c r="CN219" s="45"/>
      <c r="CO219" s="45"/>
      <c r="CP219" s="97"/>
      <c r="CQ219" s="45"/>
      <c r="CR219" s="546"/>
      <c r="CS219" s="546"/>
      <c r="CT219" s="313"/>
      <c r="CU219" s="45"/>
      <c r="CV219" s="45"/>
      <c r="CW219" s="97"/>
      <c r="CX219" s="45"/>
      <c r="CY219" s="546"/>
      <c r="CZ219" s="546"/>
      <c r="DA219" s="313"/>
      <c r="DB219" s="45"/>
      <c r="DC219" s="45"/>
      <c r="DD219" s="97"/>
      <c r="DE219" s="45"/>
      <c r="DF219" s="546"/>
      <c r="DG219" s="546"/>
      <c r="DH219" s="313"/>
      <c r="DI219" s="45"/>
      <c r="DJ219" s="45"/>
      <c r="DK219" s="97"/>
      <c r="DL219" s="45"/>
      <c r="DM219" s="546"/>
      <c r="DN219" s="546"/>
    </row>
    <row r="220" spans="1:118" ht="90" thickBot="1">
      <c r="B220" s="526"/>
      <c r="C220" s="527"/>
      <c r="D220" s="233" t="s">
        <v>1187</v>
      </c>
      <c r="E220" s="431">
        <v>1E-3</v>
      </c>
      <c r="F220" s="187" t="s">
        <v>90</v>
      </c>
      <c r="G220" s="187" t="s">
        <v>617</v>
      </c>
      <c r="H220" s="187" t="s">
        <v>669</v>
      </c>
      <c r="I220" s="187" t="s">
        <v>670</v>
      </c>
      <c r="J220" s="385" t="s">
        <v>671</v>
      </c>
      <c r="K220" s="192">
        <v>44958</v>
      </c>
      <c r="L220" s="192">
        <v>46006</v>
      </c>
      <c r="M220" s="193" t="s">
        <v>78</v>
      </c>
      <c r="N220" s="193" t="s">
        <v>694</v>
      </c>
      <c r="O220" s="193" t="s">
        <v>1308</v>
      </c>
      <c r="P220" s="193" t="s">
        <v>87</v>
      </c>
      <c r="Q220" s="45">
        <v>0</v>
      </c>
      <c r="R220" s="211">
        <v>2022</v>
      </c>
      <c r="S220" s="203"/>
      <c r="T220" s="203">
        <v>0.5</v>
      </c>
      <c r="U220" s="203">
        <v>0.8</v>
      </c>
      <c r="V220" s="294">
        <v>1</v>
      </c>
      <c r="W220" s="238"/>
      <c r="X220" s="238"/>
      <c r="Y220" s="238"/>
      <c r="Z220" s="238"/>
      <c r="AA220" s="238"/>
      <c r="AB220" s="239">
        <v>1</v>
      </c>
      <c r="AC220" s="337"/>
      <c r="AD220" s="328">
        <v>87.2</v>
      </c>
      <c r="AE220" s="330">
        <v>92.1</v>
      </c>
      <c r="AF220" s="330">
        <v>97.3</v>
      </c>
      <c r="AG220" s="337"/>
      <c r="AH220" s="337"/>
      <c r="AI220" s="337"/>
      <c r="AJ220" s="337"/>
      <c r="AK220" s="337"/>
      <c r="AL220" s="454">
        <f t="shared" si="92"/>
        <v>276.60000000000002</v>
      </c>
      <c r="AM220" s="241"/>
      <c r="AN220" s="242"/>
      <c r="AO220" s="242"/>
      <c r="AP220" s="242"/>
      <c r="AQ220" s="241">
        <v>87.2</v>
      </c>
      <c r="AR220" s="318" t="s">
        <v>80</v>
      </c>
      <c r="AS220" s="242"/>
      <c r="AT220" s="242"/>
      <c r="AU220" s="241">
        <v>92.1</v>
      </c>
      <c r="AV220" s="318" t="s">
        <v>80</v>
      </c>
      <c r="AW220" s="242"/>
      <c r="AX220" s="242"/>
      <c r="AY220" s="241">
        <v>97.3</v>
      </c>
      <c r="AZ220" s="318" t="s">
        <v>80</v>
      </c>
      <c r="BA220" s="242"/>
      <c r="BB220" s="242"/>
      <c r="BC220" s="242"/>
      <c r="BD220" s="242"/>
      <c r="BE220" s="242"/>
      <c r="BF220" s="242"/>
      <c r="BG220" s="242"/>
      <c r="BH220" s="242"/>
      <c r="BI220" s="242"/>
      <c r="BJ220" s="242"/>
      <c r="BK220" s="242"/>
      <c r="BL220" s="242"/>
      <c r="BM220" s="242"/>
      <c r="BN220" s="242"/>
      <c r="BO220" s="242"/>
      <c r="BP220" s="242"/>
      <c r="BQ220" s="242"/>
      <c r="BR220" s="242"/>
      <c r="BS220" s="242"/>
      <c r="BT220" s="242"/>
      <c r="BU220" s="242"/>
      <c r="BV220" s="242"/>
      <c r="BW220" s="97">
        <f t="shared" si="99"/>
        <v>276.60000000000002</v>
      </c>
      <c r="BX220" s="384"/>
      <c r="BY220" s="312"/>
      <c r="BZ220" s="45"/>
      <c r="CA220" s="45"/>
      <c r="CB220" s="97"/>
      <c r="CC220" s="45"/>
      <c r="CD220" s="546"/>
      <c r="CE220" s="546"/>
      <c r="CF220" s="312"/>
      <c r="CG220" s="45"/>
      <c r="CH220" s="45"/>
      <c r="CI220" s="97"/>
      <c r="CJ220" s="45"/>
      <c r="CK220" s="546"/>
      <c r="CL220" s="546"/>
      <c r="CM220" s="312"/>
      <c r="CN220" s="45"/>
      <c r="CO220" s="45"/>
      <c r="CP220" s="97"/>
      <c r="CQ220" s="45"/>
      <c r="CR220" s="546"/>
      <c r="CS220" s="546"/>
      <c r="CT220" s="312"/>
      <c r="CU220" s="45"/>
      <c r="CV220" s="45"/>
      <c r="CW220" s="97"/>
      <c r="CX220" s="45"/>
      <c r="CY220" s="546"/>
      <c r="CZ220" s="546"/>
      <c r="DA220" s="312"/>
      <c r="DB220" s="45"/>
      <c r="DC220" s="45"/>
      <c r="DD220" s="97"/>
      <c r="DE220" s="45"/>
      <c r="DF220" s="546"/>
      <c r="DG220" s="546"/>
      <c r="DH220" s="312"/>
      <c r="DI220" s="45"/>
      <c r="DJ220" s="45"/>
      <c r="DK220" s="97"/>
      <c r="DL220" s="45"/>
      <c r="DM220" s="546"/>
      <c r="DN220" s="546"/>
    </row>
    <row r="221" spans="1:118" ht="24" customHeight="1">
      <c r="A221" s="47"/>
      <c r="B221" s="49"/>
      <c r="C221" s="48"/>
      <c r="D221" s="48"/>
      <c r="E221" s="258"/>
      <c r="F221" s="258"/>
      <c r="G221" s="258"/>
      <c r="H221" s="258"/>
      <c r="I221" s="258"/>
      <c r="J221" s="258"/>
      <c r="K221" s="258"/>
      <c r="L221" s="258"/>
      <c r="M221" s="258"/>
      <c r="N221" s="258"/>
      <c r="O221" s="258"/>
      <c r="P221" s="258"/>
      <c r="Q221" s="258"/>
      <c r="R221" s="258"/>
      <c r="S221" s="259" t="s">
        <v>695</v>
      </c>
      <c r="T221" s="123"/>
      <c r="U221" s="258"/>
      <c r="V221" s="260"/>
      <c r="W221" s="260"/>
      <c r="X221" s="260"/>
      <c r="Y221" s="260"/>
      <c r="Z221" s="260"/>
      <c r="AA221" s="260"/>
      <c r="AB221" s="123"/>
      <c r="AC221" s="265">
        <f t="shared" ref="AC221:AL221" si="100">IF(SUM(AC10:AC220)=0,"",SUM(AC10:AC220))</f>
        <v>1270011.9493792423</v>
      </c>
      <c r="AD221" s="265">
        <f t="shared" si="100"/>
        <v>1516363.8359065431</v>
      </c>
      <c r="AE221" s="265">
        <f t="shared" si="100"/>
        <v>1560370.7761507626</v>
      </c>
      <c r="AF221" s="265">
        <f t="shared" si="100"/>
        <v>1652486.9193221238</v>
      </c>
      <c r="AG221" s="265">
        <f t="shared" si="100"/>
        <v>1725141.6119053129</v>
      </c>
      <c r="AH221" s="265">
        <f t="shared" si="100"/>
        <v>1767340.8923892907</v>
      </c>
      <c r="AI221" s="265">
        <f t="shared" si="100"/>
        <v>1833642.0784002566</v>
      </c>
      <c r="AJ221" s="265">
        <f t="shared" si="100"/>
        <v>1909301.8603775555</v>
      </c>
      <c r="AK221" s="265">
        <f t="shared" si="100"/>
        <v>1985532.1902630581</v>
      </c>
      <c r="AL221" s="265">
        <f t="shared" si="100"/>
        <v>15220062.114094153</v>
      </c>
      <c r="AM221" s="505">
        <f>IF((SUM(AM10:AM220)+SUM(AO10:AO220))=0,"",SUM(AM10:AM220)+SUM(AO10:AO220))</f>
        <v>1269658.5243506709</v>
      </c>
      <c r="AN221" s="506"/>
      <c r="AO221" s="506"/>
      <c r="AP221" s="507"/>
      <c r="AQ221" s="505">
        <f>IF((SUM(AQ10:AQ220)+SUM(AS10:AS220))=0,"",SUM(AQ10:AQ220)+SUM(AS10:AS220))</f>
        <v>1515883.912306543</v>
      </c>
      <c r="AR221" s="506"/>
      <c r="AS221" s="506"/>
      <c r="AT221" s="507"/>
      <c r="AU221" s="505">
        <f>IF((SUM(AU10:AU220)+SUM(AW10:AW220))=0,"",SUM(AU10:AU220)+SUM(AW10:AW220))</f>
        <v>1559872.4795507626</v>
      </c>
      <c r="AV221" s="506"/>
      <c r="AW221" s="506"/>
      <c r="AX221" s="507"/>
      <c r="AY221" s="505">
        <f>IF((SUM(AY10:AY220)+SUM(BA10:BA220))=0,"",SUM(AY10:AY220)+SUM(BA10:BA220))</f>
        <v>1652401.3348321237</v>
      </c>
      <c r="AZ221" s="506"/>
      <c r="BA221" s="506"/>
      <c r="BB221" s="507"/>
      <c r="BC221" s="505">
        <f>IF((SUM(BC10:BC220)+SUM(BE10:BE220))=0,"",SUM(BC10:BC220)+SUM(BE10:BE220))</f>
        <v>1725053.5626886133</v>
      </c>
      <c r="BD221" s="506"/>
      <c r="BE221" s="506"/>
      <c r="BF221" s="507"/>
      <c r="BG221" s="505">
        <f>IF((SUM(BG10:BG220)+SUM(BI10:BI220))=0,"",SUM(BG10:BG220)+SUM(BI10:BI220))</f>
        <v>1766995.848789291</v>
      </c>
      <c r="BH221" s="506"/>
      <c r="BI221" s="506"/>
      <c r="BJ221" s="507"/>
      <c r="BK221" s="505">
        <f>IF((SUM(BK10:BK220)+SUM(BM10:BM220))=0,"",SUM(BK10:BK220)+SUM(BM10:BM220))</f>
        <v>1833151.2048002568</v>
      </c>
      <c r="BL221" s="506"/>
      <c r="BM221" s="506"/>
      <c r="BN221" s="507"/>
      <c r="BO221" s="505">
        <f>IF((SUM(BO10:BO220)+SUM(BQ10:BQ220))=0,"",SUM(BO10:BO220)+SUM(BQ10:BQ220))</f>
        <v>1908849.7447775556</v>
      </c>
      <c r="BP221" s="506"/>
      <c r="BQ221" s="506"/>
      <c r="BR221" s="507"/>
      <c r="BS221" s="505">
        <f>IF((SUM(BS10:BS220)+SUM(BU10:BU220))=0,"",SUM(BS10:BS220)+SUM(BU10:BU220))</f>
        <v>1985125.6631228954</v>
      </c>
      <c r="BT221" s="506"/>
      <c r="BU221" s="506"/>
      <c r="BV221" s="507"/>
      <c r="BW221" s="191">
        <f>IF(SUM(BW10:BW220)=0,"",SUM(BW10:BW220))</f>
        <v>15220027.155218717</v>
      </c>
      <c r="BX221" s="112"/>
      <c r="BY221" s="25"/>
      <c r="BZ221" s="25"/>
      <c r="CA221" s="25"/>
      <c r="CB221" s="25"/>
      <c r="CC221" s="25"/>
      <c r="CD221" s="25"/>
      <c r="CE221" s="25"/>
      <c r="CF221" s="25"/>
      <c r="CG221" s="25"/>
      <c r="CH221" s="25"/>
      <c r="CI221" s="25"/>
      <c r="CJ221" s="25"/>
      <c r="CK221" s="25"/>
      <c r="CL221" s="25"/>
      <c r="CM221" s="25"/>
      <c r="CN221" s="25"/>
      <c r="CO221" s="25"/>
      <c r="CP221" s="25"/>
      <c r="CQ221" s="25"/>
      <c r="CR221" s="25"/>
      <c r="CS221" s="25"/>
      <c r="CT221" s="25"/>
      <c r="CU221" s="25"/>
      <c r="CV221" s="25"/>
      <c r="CW221" s="25"/>
      <c r="CX221" s="25"/>
      <c r="CY221" s="25"/>
      <c r="CZ221" s="25"/>
      <c r="DA221" s="25"/>
      <c r="DB221" s="25"/>
      <c r="DC221" s="25"/>
      <c r="DD221" s="25"/>
      <c r="DE221" s="25"/>
      <c r="DF221" s="25"/>
      <c r="DG221" s="25"/>
      <c r="DH221" s="25"/>
      <c r="DI221" s="25"/>
      <c r="DJ221" s="25"/>
      <c r="DK221" s="25"/>
      <c r="DL221" s="25"/>
      <c r="DM221" s="25"/>
      <c r="DN221" s="25"/>
    </row>
    <row r="222" spans="1:118" ht="68.25" customHeight="1">
      <c r="B222" s="50"/>
      <c r="C222" s="51"/>
      <c r="D222" s="51"/>
      <c r="E222" s="261"/>
      <c r="F222" s="261"/>
      <c r="G222" s="261"/>
      <c r="H222" s="261"/>
      <c r="I222" s="261"/>
      <c r="J222" s="261"/>
      <c r="K222" s="261"/>
      <c r="L222" s="261"/>
      <c r="M222" s="261"/>
      <c r="N222" s="261"/>
      <c r="O222" s="261"/>
      <c r="P222" s="261"/>
      <c r="Q222" s="261"/>
      <c r="R222" s="261" t="s">
        <v>696</v>
      </c>
      <c r="S222" s="123"/>
      <c r="T222" s="261"/>
      <c r="U222" s="261"/>
      <c r="V222" s="261"/>
      <c r="W222" s="261"/>
      <c r="X222" s="261"/>
      <c r="Y222" s="261"/>
      <c r="Z222" s="261"/>
      <c r="AA222" s="261"/>
      <c r="AB222" s="261"/>
      <c r="AC222" s="261"/>
      <c r="AD222" s="261"/>
      <c r="AE222" s="261"/>
      <c r="AF222" s="261"/>
      <c r="AG222" s="261"/>
      <c r="AH222" s="261"/>
      <c r="AI222" s="261"/>
      <c r="AJ222" s="261"/>
      <c r="AK222" s="261"/>
      <c r="AL222" s="262"/>
      <c r="AM222" s="508">
        <f>AM221-AC221</f>
        <v>-353.42502857139334</v>
      </c>
      <c r="AN222" s="509"/>
      <c r="AO222" s="509"/>
      <c r="AP222" s="510"/>
      <c r="AQ222" s="508">
        <f>AQ221-AD221</f>
        <v>-479.92360000009649</v>
      </c>
      <c r="AR222" s="509"/>
      <c r="AS222" s="509"/>
      <c r="AT222" s="510"/>
      <c r="AU222" s="508">
        <f>AU221-AE221</f>
        <v>-498.29660000000149</v>
      </c>
      <c r="AV222" s="509"/>
      <c r="AW222" s="509"/>
      <c r="AX222" s="510"/>
      <c r="AY222" s="508">
        <f>AY221-AF221</f>
        <v>-85.584490000037476</v>
      </c>
      <c r="AZ222" s="509"/>
      <c r="BA222" s="509"/>
      <c r="BB222" s="510"/>
      <c r="BC222" s="508">
        <f>BC221-AG221</f>
        <v>-88.049216699553654</v>
      </c>
      <c r="BD222" s="509"/>
      <c r="BE222" s="509"/>
      <c r="BF222" s="510"/>
      <c r="BG222" s="508">
        <f>BG221-AH221</f>
        <v>-345.04359999974258</v>
      </c>
      <c r="BH222" s="509"/>
      <c r="BI222" s="509"/>
      <c r="BJ222" s="510"/>
      <c r="BK222" s="508">
        <f>BK221-AI221</f>
        <v>-490.87359999981709</v>
      </c>
      <c r="BL222" s="509"/>
      <c r="BM222" s="509"/>
      <c r="BN222" s="510"/>
      <c r="BO222" s="508">
        <f>BO221-AJ221</f>
        <v>-452.11559999990277</v>
      </c>
      <c r="BP222" s="509"/>
      <c r="BQ222" s="509"/>
      <c r="BR222" s="510"/>
      <c r="BS222" s="508">
        <f>BS221-AN221</f>
        <v>1985125.6631228954</v>
      </c>
      <c r="BT222" s="509"/>
      <c r="BU222" s="509"/>
      <c r="BV222" s="510"/>
      <c r="BW222" s="263">
        <f>IF(OR(BW221="",AL221=""),"",BW221-AL221)</f>
        <v>-34.958875436335802</v>
      </c>
      <c r="BX222" s="113" t="s">
        <v>697</v>
      </c>
      <c r="BY222" s="541"/>
      <c r="BZ222" s="541"/>
      <c r="CA222" s="541"/>
      <c r="CB222" s="105" t="str">
        <f>IF(SUM(CB10:CB220)=0,"",SUM(CB10:CB220))</f>
        <v/>
      </c>
      <c r="CC222" s="45" t="str">
        <f>IFERROR(CB222/AM221,"")</f>
        <v/>
      </c>
      <c r="CD222" s="110" t="str">
        <f>IF(SUMPRODUCT(CD10:CD220,$C$10:$C$220)=0,"",SUMPRODUCT(CD10:CD220,$C$10:$C$220))</f>
        <v/>
      </c>
      <c r="CE222" s="110" t="str">
        <f>IF(SUMPRODUCT(CE10:CE220,$C$10:$C$220)=0,"",SUMPRODUCT(CE10:CE220,$C$10:$C$220))</f>
        <v/>
      </c>
      <c r="CF222" s="544"/>
      <c r="CG222" s="544"/>
      <c r="CH222" s="544"/>
      <c r="CI222" s="105" t="str">
        <f>IF(SUM(CI10:CI220,CB10:CB220)=0,"",SUM(CI10:CI220,CB10:CB220))</f>
        <v/>
      </c>
      <c r="CJ222" s="45" t="str">
        <f>IFERROR(CI222/AM221,"")</f>
        <v/>
      </c>
      <c r="CK222" s="110" t="str">
        <f>IF(SUMPRODUCT(CK10:CK220,$C$10:$C$220)=0,"",SUMPRODUCT(CK10:CK220,$C$10:$C$220))</f>
        <v/>
      </c>
      <c r="CL222" s="110" t="str">
        <f>IF(SUMPRODUCT(CL10:CL220,$C$10:$C$220)=0,"",SUMPRODUCT(CL10:CL220,$C$10:$C$220))</f>
        <v/>
      </c>
      <c r="CM222" s="544"/>
      <c r="CN222" s="544"/>
      <c r="CO222" s="544"/>
      <c r="CP222" s="105" t="str">
        <f>IF(SUM(CP10:CP220)=0,"",SUM(CP10:CP220))</f>
        <v/>
      </c>
      <c r="CQ222" s="45" t="str">
        <f>IFERROR(CP222/AQ221,"")</f>
        <v/>
      </c>
      <c r="CR222" s="110" t="str">
        <f>IF(SUMPRODUCT(CR10:CR220,$C$10:$C$220)=0,"",SUMPRODUCT(CR10:CR220,$C$10:$C$220))</f>
        <v/>
      </c>
      <c r="CS222" s="110" t="str">
        <f>IF(SUMPRODUCT(CS10:CS220,$C$10:$C$220)=0,"",SUMPRODUCT(CS10:CS220,$C$10:$C$220))</f>
        <v/>
      </c>
      <c r="CT222" s="544"/>
      <c r="CU222" s="544"/>
      <c r="CV222" s="544"/>
      <c r="CW222" s="105" t="str">
        <f>IF(SUM(CW10:CW220,CP10:CP220)=0,"",SUM(CW10:CW220,CP10:CP220))</f>
        <v/>
      </c>
      <c r="CX222" s="45" t="str">
        <f>IFERROR(CW222/AQ221,"")</f>
        <v/>
      </c>
      <c r="CY222" s="110" t="str">
        <f>IF(SUMPRODUCT(CY10:CY220,$C$10:$C$220)=0,"",SUMPRODUCT(CY10:CY220,$C$10:$C$220))</f>
        <v/>
      </c>
      <c r="CZ222" s="110" t="str">
        <f>IF(SUMPRODUCT(CZ10:CZ220,$C$10:$C$220)=0,"",SUMPRODUCT(CZ10:CZ220,$C$10:$C$220))</f>
        <v/>
      </c>
      <c r="DA222" s="544"/>
      <c r="DB222" s="544"/>
      <c r="DC222" s="544"/>
      <c r="DD222" s="105" t="str">
        <f>IF(SUM(DD10:DD220)=0,"",SUM(DD10:DD220))</f>
        <v/>
      </c>
      <c r="DE222" s="45" t="str">
        <f>IFERROR(DD222/BS221,"")</f>
        <v/>
      </c>
      <c r="DF222" s="110" t="str">
        <f>IF(SUMPRODUCT(DF10:DF220,$C$10:$C$220)=0,"",SUMPRODUCT(DF10:DF220,$C$10:$C$220))</f>
        <v/>
      </c>
      <c r="DG222" s="110" t="str">
        <f>IF(SUMPRODUCT(DG10:DG220,$C$10:$C$220)=0,"",SUMPRODUCT(DG10:DG220,$C$10:$C$220))</f>
        <v/>
      </c>
      <c r="DH222" s="544"/>
      <c r="DI222" s="544"/>
      <c r="DJ222" s="544"/>
      <c r="DK222" s="105" t="str">
        <f>IF(SUM(DK10:DK220,DD10:DD220)=0,"",SUM(DK10:DK220,DD10:DD220))</f>
        <v/>
      </c>
      <c r="DL222" s="45" t="str">
        <f>IFERROR(DK222/BS221,"")</f>
        <v/>
      </c>
      <c r="DM222" s="110" t="str">
        <f>IF(SUMPRODUCT(DM10:DM220,$C$10:$C$220)=0,"",SUMPRODUCT(DM10:DM220,$C$10:$C$220))</f>
        <v/>
      </c>
      <c r="DN222" s="110" t="str">
        <f>IF(SUMPRODUCT(DN10:DN220,$C$10:$C$220)=0,"",SUMPRODUCT(DN10:DN220,$C$10:$C$220))</f>
        <v/>
      </c>
    </row>
    <row r="223" spans="1:118" ht="34.5" customHeight="1" thickBot="1">
      <c r="B223" s="52" t="s">
        <v>698</v>
      </c>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111"/>
      <c r="BY223" s="111"/>
      <c r="BZ223" s="111"/>
      <c r="CA223" s="111"/>
      <c r="CB223" s="111"/>
      <c r="CC223" s="24"/>
      <c r="CD223" s="24"/>
      <c r="CE223" s="24"/>
      <c r="CF223" s="111"/>
      <c r="CG223" s="111"/>
      <c r="CH223" s="111"/>
      <c r="CI223" s="111"/>
      <c r="CJ223" s="24"/>
      <c r="CK223" s="24"/>
      <c r="CL223" s="24"/>
      <c r="CM223" s="111"/>
      <c r="CN223" s="111"/>
      <c r="CO223" s="111"/>
      <c r="CP223" s="111"/>
      <c r="CQ223" s="24"/>
      <c r="CR223" s="24"/>
      <c r="CS223" s="24"/>
      <c r="CT223" s="111"/>
      <c r="CU223" s="111"/>
      <c r="CV223" s="111"/>
      <c r="CW223" s="111"/>
      <c r="CX223" s="24"/>
      <c r="CY223" s="24"/>
      <c r="CZ223" s="24"/>
      <c r="DA223" s="111"/>
      <c r="DB223" s="111"/>
      <c r="DC223" s="111"/>
      <c r="DD223" s="111"/>
      <c r="DE223" s="24"/>
      <c r="DF223" s="24"/>
      <c r="DG223" s="24"/>
      <c r="DH223" s="111"/>
      <c r="DI223" s="111"/>
      <c r="DJ223" s="111"/>
      <c r="DK223" s="111"/>
      <c r="DL223" s="24"/>
      <c r="DM223" s="24"/>
      <c r="DN223" s="24"/>
    </row>
    <row r="224" spans="1:118" ht="33.75" customHeight="1">
      <c r="B224" s="32" t="s">
        <v>699</v>
      </c>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c r="CA224" s="25"/>
      <c r="CB224" s="25"/>
      <c r="CC224" s="25"/>
      <c r="CD224" s="25"/>
      <c r="CE224" s="25"/>
      <c r="CF224" s="25"/>
      <c r="CG224" s="25"/>
      <c r="CH224" s="25"/>
      <c r="CI224" s="25"/>
      <c r="CJ224" s="25"/>
      <c r="CK224" s="25"/>
      <c r="CL224" s="25"/>
      <c r="CM224" s="25"/>
      <c r="CN224" s="25"/>
      <c r="CO224" s="25"/>
      <c r="CP224" s="25"/>
      <c r="CQ224" s="25"/>
      <c r="CR224" s="25"/>
      <c r="CS224" s="25"/>
      <c r="CT224" s="25"/>
      <c r="CU224" s="25"/>
      <c r="CV224" s="25"/>
      <c r="CW224" s="25"/>
      <c r="CX224" s="25"/>
      <c r="CY224" s="25"/>
      <c r="CZ224" s="25"/>
      <c r="DA224" s="25"/>
      <c r="DB224" s="25"/>
      <c r="DC224" s="25"/>
      <c r="DD224" s="25"/>
      <c r="DE224" s="25"/>
      <c r="DF224" s="25"/>
      <c r="DG224" s="25"/>
      <c r="DH224" s="25"/>
      <c r="DI224" s="25"/>
      <c r="DJ224" s="25"/>
      <c r="DK224" s="25"/>
      <c r="DL224" s="25"/>
      <c r="DM224" s="25"/>
      <c r="DN224" s="25"/>
    </row>
    <row r="225" spans="2:118" ht="15.75" customHeight="1">
      <c r="B225" s="530" t="s">
        <v>700</v>
      </c>
      <c r="C225" s="41" t="s">
        <v>701</v>
      </c>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c r="BT225" s="42"/>
      <c r="BU225" s="42"/>
      <c r="BV225" s="42"/>
      <c r="BW225" s="42"/>
      <c r="BX225" s="42"/>
      <c r="BY225" s="42"/>
      <c r="BZ225" s="42"/>
      <c r="CA225" s="42"/>
      <c r="CB225" s="42"/>
      <c r="CC225" s="42"/>
      <c r="CD225" s="42"/>
      <c r="CE225" s="42"/>
      <c r="CF225" s="42"/>
      <c r="CG225" s="42"/>
      <c r="CH225" s="42"/>
      <c r="CI225" s="42"/>
      <c r="CJ225" s="42"/>
      <c r="CK225" s="42"/>
      <c r="CL225" s="42"/>
      <c r="CM225" s="42"/>
      <c r="CN225" s="42"/>
      <c r="CO225" s="42"/>
      <c r="CP225" s="42"/>
      <c r="CQ225" s="42"/>
      <c r="CR225" s="42"/>
      <c r="CS225" s="42"/>
      <c r="CT225" s="42"/>
      <c r="CU225" s="42"/>
      <c r="CV225" s="42"/>
      <c r="CW225" s="42"/>
      <c r="CX225" s="42"/>
      <c r="CY225" s="42"/>
      <c r="CZ225" s="42"/>
      <c r="DA225" s="42"/>
      <c r="DB225" s="42"/>
      <c r="DC225" s="42"/>
      <c r="DD225" s="42"/>
      <c r="DE225" s="42"/>
      <c r="DF225" s="42"/>
      <c r="DG225" s="42"/>
      <c r="DH225" s="42"/>
      <c r="DI225" s="42"/>
      <c r="DJ225" s="42"/>
      <c r="DK225" s="42"/>
      <c r="DL225" s="42"/>
      <c r="DM225" s="42"/>
      <c r="DN225" s="42"/>
    </row>
    <row r="226" spans="2:118" ht="15.75" customHeight="1">
      <c r="B226" s="531"/>
      <c r="C226" s="43" t="s">
        <v>702</v>
      </c>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c r="BU226" s="44"/>
      <c r="BV226" s="44"/>
      <c r="BW226" s="44"/>
      <c r="BX226" s="44"/>
      <c r="BY226" s="44"/>
      <c r="BZ226" s="44"/>
      <c r="CA226" s="44"/>
      <c r="CB226" s="44"/>
      <c r="CC226" s="44"/>
      <c r="CD226" s="44"/>
      <c r="CE226" s="44"/>
      <c r="CF226" s="44"/>
      <c r="CG226" s="44"/>
      <c r="CH226" s="44"/>
      <c r="CI226" s="44"/>
      <c r="CJ226" s="44"/>
      <c r="CK226" s="44"/>
      <c r="CL226" s="44"/>
      <c r="CM226" s="44"/>
      <c r="CN226" s="44"/>
      <c r="CO226" s="44"/>
      <c r="CP226" s="44"/>
      <c r="CQ226" s="44"/>
      <c r="CR226" s="44"/>
      <c r="CS226" s="44"/>
      <c r="CT226" s="44"/>
      <c r="CU226" s="44"/>
      <c r="CV226" s="44"/>
      <c r="CW226" s="44"/>
      <c r="CX226" s="44"/>
      <c r="CY226" s="44"/>
      <c r="CZ226" s="44"/>
      <c r="DA226" s="44"/>
      <c r="DB226" s="44"/>
      <c r="DC226" s="44"/>
      <c r="DD226" s="44"/>
      <c r="DE226" s="44"/>
      <c r="DF226" s="44"/>
      <c r="DG226" s="44"/>
      <c r="DH226" s="44"/>
      <c r="DI226" s="44"/>
      <c r="DJ226" s="44"/>
      <c r="DK226" s="44"/>
      <c r="DL226" s="44"/>
      <c r="DM226" s="44"/>
      <c r="DN226" s="44"/>
    </row>
    <row r="227" spans="2:118" ht="15.75" customHeight="1">
      <c r="B227" s="531"/>
      <c r="C227" s="43" t="s">
        <v>703</v>
      </c>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c r="BU227" s="44"/>
      <c r="BV227" s="44"/>
      <c r="BW227" s="44"/>
      <c r="BX227" s="44"/>
      <c r="BY227" s="44"/>
      <c r="BZ227" s="44"/>
      <c r="CA227" s="44"/>
      <c r="CB227" s="44"/>
      <c r="CC227" s="44"/>
      <c r="CD227" s="44"/>
      <c r="CE227" s="44"/>
      <c r="CF227" s="44"/>
      <c r="CG227" s="44"/>
      <c r="CH227" s="44"/>
      <c r="CI227" s="44"/>
      <c r="CJ227" s="44"/>
      <c r="CK227" s="44"/>
      <c r="CL227" s="44"/>
      <c r="CM227" s="44"/>
      <c r="CN227" s="44"/>
      <c r="CO227" s="44"/>
      <c r="CP227" s="44"/>
      <c r="CQ227" s="44"/>
      <c r="CR227" s="44"/>
      <c r="CS227" s="44"/>
      <c r="CT227" s="44"/>
      <c r="CU227" s="44"/>
      <c r="CV227" s="44"/>
      <c r="CW227" s="44"/>
      <c r="CX227" s="44"/>
      <c r="CY227" s="44"/>
      <c r="CZ227" s="44"/>
      <c r="DA227" s="44"/>
      <c r="DB227" s="44"/>
      <c r="DC227" s="44"/>
      <c r="DD227" s="44"/>
      <c r="DE227" s="44"/>
      <c r="DF227" s="44"/>
      <c r="DG227" s="44"/>
      <c r="DH227" s="44"/>
      <c r="DI227" s="44"/>
      <c r="DJ227" s="44"/>
      <c r="DK227" s="44"/>
      <c r="DL227" s="44"/>
      <c r="DM227" s="44"/>
      <c r="DN227" s="44"/>
    </row>
    <row r="228" spans="2:118" ht="15.75" customHeight="1">
      <c r="B228" s="114"/>
      <c r="C228" s="115" t="s">
        <v>704</v>
      </c>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c r="BZ228" s="44"/>
      <c r="CA228" s="44"/>
      <c r="CB228" s="44"/>
      <c r="CC228" s="44"/>
      <c r="CD228" s="44"/>
      <c r="CE228" s="44"/>
      <c r="CF228" s="44"/>
      <c r="CG228" s="44"/>
      <c r="CH228" s="44"/>
      <c r="CI228" s="44"/>
      <c r="CJ228" s="44"/>
      <c r="CK228" s="44"/>
      <c r="CL228" s="44"/>
      <c r="CM228" s="44"/>
      <c r="CN228" s="44"/>
      <c r="CO228" s="44"/>
      <c r="CP228" s="44"/>
      <c r="CQ228" s="44"/>
      <c r="CR228" s="44"/>
      <c r="CS228" s="44"/>
      <c r="CT228" s="44"/>
      <c r="CU228" s="44"/>
      <c r="CV228" s="44"/>
      <c r="CW228" s="44"/>
      <c r="CX228" s="44"/>
      <c r="CY228" s="44"/>
      <c r="CZ228" s="44"/>
      <c r="DA228" s="44"/>
      <c r="DB228" s="44"/>
      <c r="DC228" s="44"/>
      <c r="DD228" s="44"/>
      <c r="DE228" s="44"/>
      <c r="DF228" s="44"/>
      <c r="DG228" s="44"/>
      <c r="DH228" s="44"/>
      <c r="DI228" s="44"/>
      <c r="DJ228" s="44"/>
      <c r="DK228" s="44"/>
      <c r="DL228" s="44"/>
      <c r="DM228" s="44"/>
      <c r="DN228" s="44"/>
    </row>
    <row r="229" spans="2:118" ht="15.75" customHeight="1">
      <c r="B229" s="521" t="s">
        <v>705</v>
      </c>
      <c r="C229" s="26" t="s">
        <v>706</v>
      </c>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row>
    <row r="230" spans="2:118" ht="15.75" customHeight="1">
      <c r="B230" s="522"/>
      <c r="C230" s="28" t="s">
        <v>707</v>
      </c>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c r="DB230" s="29"/>
      <c r="DC230" s="29"/>
      <c r="DD230" s="29"/>
      <c r="DE230" s="29"/>
      <c r="DF230" s="29"/>
      <c r="DG230" s="29"/>
      <c r="DH230" s="29"/>
      <c r="DI230" s="29"/>
      <c r="DJ230" s="29"/>
      <c r="DK230" s="29"/>
      <c r="DL230" s="29"/>
      <c r="DM230" s="29"/>
      <c r="DN230" s="29"/>
    </row>
    <row r="231" spans="2:118" ht="15.75" customHeight="1">
      <c r="B231" s="522"/>
      <c r="C231" s="28" t="s">
        <v>708</v>
      </c>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row>
    <row r="232" spans="2:118" ht="15.75" customHeight="1">
      <c r="B232" s="522"/>
      <c r="C232" s="28" t="s">
        <v>709</v>
      </c>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c r="DL232" s="29"/>
      <c r="DM232" s="29"/>
      <c r="DN232" s="29"/>
    </row>
    <row r="233" spans="2:118" ht="15.75" customHeight="1">
      <c r="B233" s="523" t="s">
        <v>710</v>
      </c>
      <c r="C233" s="26" t="s">
        <v>706</v>
      </c>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7"/>
      <c r="DE233" s="27"/>
      <c r="DF233" s="27"/>
      <c r="DG233" s="27"/>
      <c r="DH233" s="27"/>
      <c r="DI233" s="27"/>
      <c r="DJ233" s="27"/>
      <c r="DK233" s="27"/>
      <c r="DL233" s="27"/>
      <c r="DM233" s="27"/>
      <c r="DN233" s="27"/>
    </row>
    <row r="234" spans="2:118" ht="15.75" customHeight="1">
      <c r="B234" s="524"/>
      <c r="C234" s="28" t="s">
        <v>707</v>
      </c>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c r="DK234" s="29"/>
      <c r="DL234" s="29"/>
      <c r="DM234" s="29"/>
      <c r="DN234" s="29"/>
    </row>
    <row r="235" spans="2:118" ht="15.75" customHeight="1">
      <c r="B235" s="524"/>
      <c r="C235" s="28" t="s">
        <v>708</v>
      </c>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c r="DB235" s="29"/>
      <c r="DC235" s="29"/>
      <c r="DD235" s="29"/>
      <c r="DE235" s="29"/>
      <c r="DF235" s="29"/>
      <c r="DG235" s="29"/>
      <c r="DH235" s="29"/>
      <c r="DI235" s="29"/>
      <c r="DJ235" s="29"/>
      <c r="DK235" s="29"/>
      <c r="DL235" s="29"/>
      <c r="DM235" s="29"/>
      <c r="DN235" s="29"/>
    </row>
    <row r="236" spans="2:118" ht="15.75" customHeight="1">
      <c r="B236" s="524"/>
      <c r="C236" s="28" t="s">
        <v>709</v>
      </c>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c r="DK236" s="29"/>
      <c r="DL236" s="29"/>
      <c r="DM236" s="29"/>
      <c r="DN236" s="29"/>
    </row>
    <row r="237" spans="2:118" ht="15.75" customHeight="1">
      <c r="B237" s="523" t="s">
        <v>711</v>
      </c>
      <c r="C237" s="26" t="s">
        <v>706</v>
      </c>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c r="CM237" s="27"/>
      <c r="CN237" s="27"/>
      <c r="CO237" s="27"/>
      <c r="CP237" s="27"/>
      <c r="CQ237" s="27"/>
      <c r="CR237" s="27"/>
      <c r="CS237" s="27"/>
      <c r="CT237" s="27"/>
      <c r="CU237" s="27"/>
      <c r="CV237" s="27"/>
      <c r="CW237" s="27"/>
      <c r="CX237" s="27"/>
      <c r="CY237" s="27"/>
      <c r="CZ237" s="27"/>
      <c r="DA237" s="27"/>
      <c r="DB237" s="27"/>
      <c r="DC237" s="27"/>
      <c r="DD237" s="27"/>
      <c r="DE237" s="27"/>
      <c r="DF237" s="27"/>
      <c r="DG237" s="27"/>
      <c r="DH237" s="27"/>
      <c r="DI237" s="27"/>
      <c r="DJ237" s="27"/>
      <c r="DK237" s="27"/>
      <c r="DL237" s="27"/>
      <c r="DM237" s="27"/>
      <c r="DN237" s="27"/>
    </row>
    <row r="238" spans="2:118" ht="15.75" customHeight="1">
      <c r="B238" s="524"/>
      <c r="C238" s="28" t="s">
        <v>707</v>
      </c>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c r="DB238" s="29"/>
      <c r="DC238" s="29"/>
      <c r="DD238" s="29"/>
      <c r="DE238" s="29"/>
      <c r="DF238" s="29"/>
      <c r="DG238" s="29"/>
      <c r="DH238" s="29"/>
      <c r="DI238" s="29"/>
      <c r="DJ238" s="29"/>
      <c r="DK238" s="29"/>
      <c r="DL238" s="29"/>
      <c r="DM238" s="29"/>
      <c r="DN238" s="29"/>
    </row>
    <row r="239" spans="2:118" ht="15.75" customHeight="1">
      <c r="B239" s="524"/>
      <c r="C239" s="28" t="s">
        <v>708</v>
      </c>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c r="DB239" s="29"/>
      <c r="DC239" s="29"/>
      <c r="DD239" s="29"/>
      <c r="DE239" s="29"/>
      <c r="DF239" s="29"/>
      <c r="DG239" s="29"/>
      <c r="DH239" s="29"/>
      <c r="DI239" s="29"/>
      <c r="DJ239" s="29"/>
      <c r="DK239" s="29"/>
      <c r="DL239" s="29"/>
      <c r="DM239" s="29"/>
      <c r="DN239" s="29"/>
    </row>
    <row r="240" spans="2:118" ht="15.75" customHeight="1">
      <c r="B240" s="524"/>
      <c r="C240" s="28" t="s">
        <v>709</v>
      </c>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c r="DB240" s="29"/>
      <c r="DC240" s="29"/>
      <c r="DD240" s="29"/>
      <c r="DE240" s="29"/>
      <c r="DF240" s="29"/>
      <c r="DG240" s="29"/>
      <c r="DH240" s="29"/>
      <c r="DI240" s="29"/>
      <c r="DJ240" s="29"/>
      <c r="DK240" s="29"/>
      <c r="DL240" s="29"/>
      <c r="DM240" s="29"/>
      <c r="DN240" s="29"/>
    </row>
    <row r="241" spans="2:118" ht="15.75" customHeight="1">
      <c r="B241" s="517" t="s">
        <v>712</v>
      </c>
      <c r="C241" s="26" t="s">
        <v>706</v>
      </c>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7"/>
      <c r="DE241" s="27"/>
      <c r="DF241" s="27"/>
      <c r="DG241" s="27"/>
      <c r="DH241" s="27"/>
      <c r="DI241" s="27"/>
      <c r="DJ241" s="27"/>
      <c r="DK241" s="27"/>
      <c r="DL241" s="27"/>
      <c r="DM241" s="27"/>
      <c r="DN241" s="27"/>
    </row>
    <row r="242" spans="2:118" ht="15.75" customHeight="1">
      <c r="B242" s="518"/>
      <c r="C242" s="28" t="s">
        <v>707</v>
      </c>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c r="DK242" s="29"/>
      <c r="DL242" s="29"/>
      <c r="DM242" s="29"/>
      <c r="DN242" s="29"/>
    </row>
    <row r="243" spans="2:118" ht="15.75" customHeight="1">
      <c r="B243" s="519"/>
      <c r="C243" s="117" t="s">
        <v>708</v>
      </c>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8"/>
      <c r="AL243" s="118"/>
      <c r="AM243" s="118"/>
      <c r="AN243" s="118"/>
      <c r="AO243" s="118"/>
      <c r="AP243" s="118"/>
      <c r="AQ243" s="118"/>
      <c r="AR243" s="118"/>
      <c r="AS243" s="118"/>
      <c r="AT243" s="118"/>
      <c r="AU243" s="118"/>
      <c r="AV243" s="118"/>
      <c r="AW243" s="118"/>
      <c r="AX243" s="118"/>
      <c r="AY243" s="118"/>
      <c r="AZ243" s="118"/>
      <c r="BA243" s="118"/>
      <c r="BB243" s="118"/>
      <c r="BC243" s="118"/>
      <c r="BD243" s="118"/>
      <c r="BE243" s="118"/>
      <c r="BF243" s="118"/>
      <c r="BG243" s="118"/>
      <c r="BH243" s="118"/>
      <c r="BI243" s="118"/>
      <c r="BJ243" s="118"/>
      <c r="BK243" s="118"/>
      <c r="BL243" s="118"/>
      <c r="BM243" s="118"/>
      <c r="BN243" s="118"/>
      <c r="BO243" s="118"/>
      <c r="BP243" s="118"/>
      <c r="BQ243" s="118"/>
      <c r="BR243" s="118"/>
      <c r="BS243" s="118"/>
      <c r="BT243" s="118"/>
      <c r="BU243" s="118"/>
      <c r="BV243" s="118"/>
      <c r="BW243" s="118"/>
      <c r="BX243" s="118"/>
      <c r="BY243" s="118"/>
      <c r="BZ243" s="118"/>
      <c r="CA243" s="118"/>
      <c r="CB243" s="118"/>
      <c r="CC243" s="118"/>
      <c r="CD243" s="118"/>
      <c r="CE243" s="118"/>
      <c r="CF243" s="118"/>
      <c r="CG243" s="118"/>
      <c r="CH243" s="118"/>
      <c r="CI243" s="118"/>
      <c r="CJ243" s="118"/>
      <c r="CK243" s="118"/>
      <c r="CL243" s="118"/>
      <c r="CM243" s="118"/>
      <c r="CN243" s="118"/>
      <c r="CO243" s="118"/>
      <c r="CP243" s="118"/>
      <c r="CQ243" s="118"/>
      <c r="CR243" s="118"/>
      <c r="CS243" s="118"/>
      <c r="CT243" s="118"/>
      <c r="CU243" s="118"/>
      <c r="CV243" s="118"/>
      <c r="CW243" s="118"/>
      <c r="CX243" s="118"/>
      <c r="CY243" s="118"/>
      <c r="CZ243" s="118"/>
      <c r="DA243" s="118"/>
      <c r="DB243" s="118"/>
      <c r="DC243" s="118"/>
      <c r="DD243" s="118"/>
      <c r="DE243" s="118"/>
      <c r="DF243" s="118"/>
      <c r="DG243" s="118"/>
      <c r="DH243" s="118"/>
      <c r="DI243" s="118"/>
      <c r="DJ243" s="118"/>
      <c r="DK243" s="118"/>
      <c r="DL243" s="118"/>
      <c r="DM243" s="118"/>
      <c r="DN243" s="118"/>
    </row>
    <row r="244" spans="2:118" ht="15.75" customHeight="1" thickBot="1">
      <c r="B244" s="520"/>
      <c r="C244" s="30" t="s">
        <v>709</v>
      </c>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c r="CO244" s="31"/>
      <c r="CP244" s="31"/>
      <c r="CQ244" s="31"/>
      <c r="CR244" s="31"/>
      <c r="CS244" s="31"/>
      <c r="CT244" s="31"/>
      <c r="CU244" s="31"/>
      <c r="CV244" s="31"/>
      <c r="CW244" s="31"/>
      <c r="CX244" s="31"/>
      <c r="CY244" s="31"/>
      <c r="CZ244" s="31"/>
      <c r="DA244" s="31"/>
      <c r="DB244" s="31"/>
      <c r="DC244" s="31"/>
      <c r="DD244" s="31"/>
      <c r="DE244" s="31"/>
      <c r="DF244" s="31"/>
      <c r="DG244" s="31"/>
      <c r="DH244" s="31"/>
      <c r="DI244" s="31"/>
      <c r="DJ244" s="31"/>
      <c r="DK244" s="31"/>
      <c r="DL244" s="31"/>
      <c r="DM244" s="31"/>
      <c r="DN244" s="31"/>
    </row>
    <row r="245" spans="2:118" ht="15.75" customHeight="1"/>
    <row r="246" spans="2:118" ht="33.75" customHeight="1">
      <c r="B246" s="19" t="s">
        <v>713</v>
      </c>
    </row>
  </sheetData>
  <sheetProtection formatCells="0" formatColumns="0" formatRows="0" insertColumns="0" insertRows="0" deleteColumns="0" deleteRows="0"/>
  <mergeCells count="171">
    <mergeCell ref="DF135:DF162"/>
    <mergeCell ref="DG135:DG162"/>
    <mergeCell ref="CD164:CD189"/>
    <mergeCell ref="CE164:CE189"/>
    <mergeCell ref="CK164:CK189"/>
    <mergeCell ref="CL164:CL189"/>
    <mergeCell ref="CR164:CR189"/>
    <mergeCell ref="CS164:CS189"/>
    <mergeCell ref="CY164:CY189"/>
    <mergeCell ref="CZ164:CZ189"/>
    <mergeCell ref="DF164:DF189"/>
    <mergeCell ref="DN8:DN9"/>
    <mergeCell ref="DN10:DN66"/>
    <mergeCell ref="DN120:DN134"/>
    <mergeCell ref="DM8:DM9"/>
    <mergeCell ref="DF103:DF119"/>
    <mergeCell ref="DG103:DG119"/>
    <mergeCell ref="DF8:DF9"/>
    <mergeCell ref="DG8:DG9"/>
    <mergeCell ref="DF10:DF66"/>
    <mergeCell ref="DG10:DG66"/>
    <mergeCell ref="CT222:CV222"/>
    <mergeCell ref="CY120:CY134"/>
    <mergeCell ref="DF192:DF220"/>
    <mergeCell ref="DG192:DG220"/>
    <mergeCell ref="DA222:DC222"/>
    <mergeCell ref="DN192:DN220"/>
    <mergeCell ref="DH222:DJ222"/>
    <mergeCell ref="DM10:DM66"/>
    <mergeCell ref="DM120:DM134"/>
    <mergeCell ref="DM192:DM220"/>
    <mergeCell ref="DM103:DM119"/>
    <mergeCell ref="DN103:DN119"/>
    <mergeCell ref="DF120:DF134"/>
    <mergeCell ref="DG120:DG134"/>
    <mergeCell ref="DM135:DM162"/>
    <mergeCell ref="DN135:DN162"/>
    <mergeCell ref="DG164:DG189"/>
    <mergeCell ref="DM164:DM189"/>
    <mergeCell ref="DN164:DN189"/>
    <mergeCell ref="CZ10:CZ66"/>
    <mergeCell ref="CZ120:CZ134"/>
    <mergeCell ref="CZ192:CZ220"/>
    <mergeCell ref="CY135:CY162"/>
    <mergeCell ref="CZ135:CZ162"/>
    <mergeCell ref="CY192:CY220"/>
    <mergeCell ref="CY8:CY9"/>
    <mergeCell ref="CY10:CY66"/>
    <mergeCell ref="CZ103:CZ119"/>
    <mergeCell ref="CD120:CD134"/>
    <mergeCell ref="CD192:CD220"/>
    <mergeCell ref="CE8:CE9"/>
    <mergeCell ref="CE10:CE66"/>
    <mergeCell ref="CE120:CE134"/>
    <mergeCell ref="CE192:CE220"/>
    <mergeCell ref="CD135:CD162"/>
    <mergeCell ref="CY103:CY119"/>
    <mergeCell ref="CD103:CD119"/>
    <mergeCell ref="CE103:CE119"/>
    <mergeCell ref="CD8:CD9"/>
    <mergeCell ref="CD10:CD66"/>
    <mergeCell ref="CZ8:CZ9"/>
    <mergeCell ref="CE135:CE162"/>
    <mergeCell ref="CK135:CK162"/>
    <mergeCell ref="CL135:CL162"/>
    <mergeCell ref="CR135:CR162"/>
    <mergeCell ref="CS135:CS162"/>
    <mergeCell ref="CF222:CH222"/>
    <mergeCell ref="CR8:CR9"/>
    <mergeCell ref="CS8:CS9"/>
    <mergeCell ref="CR10:CR66"/>
    <mergeCell ref="CS10:CS66"/>
    <mergeCell ref="CR120:CR134"/>
    <mergeCell ref="CS120:CS134"/>
    <mergeCell ref="CR192:CR220"/>
    <mergeCell ref="CS192:CS220"/>
    <mergeCell ref="CM222:CO222"/>
    <mergeCell ref="CK8:CK9"/>
    <mergeCell ref="CL8:CL9"/>
    <mergeCell ref="CK10:CK66"/>
    <mergeCell ref="CL10:CL66"/>
    <mergeCell ref="CK120:CK134"/>
    <mergeCell ref="CK192:CK220"/>
    <mergeCell ref="CL120:CL134"/>
    <mergeCell ref="CK103:CK119"/>
    <mergeCell ref="CL103:CL119"/>
    <mergeCell ref="CR103:CR119"/>
    <mergeCell ref="CS103:CS119"/>
    <mergeCell ref="CL192:CL220"/>
    <mergeCell ref="BY222:CA222"/>
    <mergeCell ref="AM221:AP221"/>
    <mergeCell ref="AQ221:AT221"/>
    <mergeCell ref="BS221:BV221"/>
    <mergeCell ref="O8:O9"/>
    <mergeCell ref="N8:N9"/>
    <mergeCell ref="V8:V9"/>
    <mergeCell ref="AA8:AA9"/>
    <mergeCell ref="L8:L9"/>
    <mergeCell ref="AD8:AD9"/>
    <mergeCell ref="AL8:AL9"/>
    <mergeCell ref="AE8:AE9"/>
    <mergeCell ref="BW8:BW9"/>
    <mergeCell ref="AC8:AC9"/>
    <mergeCell ref="AB8:AB9"/>
    <mergeCell ref="U8:U9"/>
    <mergeCell ref="P8:P9"/>
    <mergeCell ref="T8:T9"/>
    <mergeCell ref="S8:S9"/>
    <mergeCell ref="BO8:BR8"/>
    <mergeCell ref="AU8:AX8"/>
    <mergeCell ref="AY8:BB8"/>
    <mergeCell ref="AF8:AF9"/>
    <mergeCell ref="AG8:AG9"/>
    <mergeCell ref="B241:B244"/>
    <mergeCell ref="B229:B232"/>
    <mergeCell ref="B233:B236"/>
    <mergeCell ref="B237:B240"/>
    <mergeCell ref="F7:F9"/>
    <mergeCell ref="B120:B134"/>
    <mergeCell ref="C120:C134"/>
    <mergeCell ref="B7:B9"/>
    <mergeCell ref="C7:C9"/>
    <mergeCell ref="B225:B227"/>
    <mergeCell ref="B192:B220"/>
    <mergeCell ref="C192:C220"/>
    <mergeCell ref="D7:D9"/>
    <mergeCell ref="E7:E9"/>
    <mergeCell ref="B103:B119"/>
    <mergeCell ref="C103:C119"/>
    <mergeCell ref="C10:C102"/>
    <mergeCell ref="B10:B102"/>
    <mergeCell ref="C164:C191"/>
    <mergeCell ref="B135:B163"/>
    <mergeCell ref="B164:B191"/>
    <mergeCell ref="C135:C163"/>
    <mergeCell ref="BG8:BJ8"/>
    <mergeCell ref="BK8:BN8"/>
    <mergeCell ref="W8:W9"/>
    <mergeCell ref="X8:X9"/>
    <mergeCell ref="Y8:Y9"/>
    <mergeCell ref="Z8:Z9"/>
    <mergeCell ref="I8:I9"/>
    <mergeCell ref="G8:G9"/>
    <mergeCell ref="BX7:BX9"/>
    <mergeCell ref="H8:H9"/>
    <mergeCell ref="M8:M9"/>
    <mergeCell ref="J8:J9"/>
    <mergeCell ref="K8:K9"/>
    <mergeCell ref="AH8:AH9"/>
    <mergeCell ref="AI8:AI9"/>
    <mergeCell ref="AJ8:AJ9"/>
    <mergeCell ref="AK8:AK9"/>
    <mergeCell ref="AM8:AP8"/>
    <mergeCell ref="AQ8:AT8"/>
    <mergeCell ref="BS8:BV8"/>
    <mergeCell ref="BC8:BF8"/>
    <mergeCell ref="BK221:BN221"/>
    <mergeCell ref="BK222:BN222"/>
    <mergeCell ref="BO221:BR221"/>
    <mergeCell ref="BO222:BR222"/>
    <mergeCell ref="BS222:BV222"/>
    <mergeCell ref="AM222:AP222"/>
    <mergeCell ref="AQ222:AT222"/>
    <mergeCell ref="AU221:AX221"/>
    <mergeCell ref="AU222:AX222"/>
    <mergeCell ref="AY221:BB221"/>
    <mergeCell ref="AY222:BB222"/>
    <mergeCell ref="BC221:BF221"/>
    <mergeCell ref="BC222:BF222"/>
    <mergeCell ref="BG221:BJ221"/>
    <mergeCell ref="BG222:BJ222"/>
  </mergeCells>
  <phoneticPr fontId="51" type="noConversion"/>
  <dataValidations xWindow="365" yWindow="542" count="77">
    <dataValidation type="textLength" allowBlank="1" showInputMessage="1" showErrorMessage="1" sqref="C225:C228 B233:B244 B229" xr:uid="{B993EBAD-37F9-412A-9E62-23839433171A}">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BY7:BY8 CB8 CF7:CF8 CI8 CM7:CM8 CP8 CT7:CT8 CW8 DA7:DA8 DD8 DH7:DH8 DK8" xr:uid="{14488FAE-8146-4FA7-B3CF-32863EFBE3C3}"/>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M7" xr:uid="{F178A1FE-1418-4CA4-BCE5-0A004300DFD6}"/>
    <dataValidation allowBlank="1" showInputMessage="1" showErrorMessage="1" prompt="Totalice el costo de las acciones al finalizar la vigencia del documento CONPES." sqref="AL8" xr:uid="{0FA63386-06CE-48BD-A425-CF22B7CD96EF}"/>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B37F4DFF-9F0B-4AB2-9BA6-D5BF84DEFEB6}"/>
    <dataValidation allowBlank="1" showInputMessage="1" showErrorMessage="1" prompt="Escriba la fecha de finalización de la acción._x000a__x000a_Formato DD/MM/AAAA." sqref="L8" xr:uid="{C9F0E88B-5227-4411-AA0E-F426DB0FD5BA}"/>
    <dataValidation allowBlank="1" showInputMessage="1" showErrorMessage="1" prompt="Escriba la fecha de inicio de la acción._x000a__x000a_Formato DD/MM/AAAA." sqref="K8" xr:uid="{CE4535B3-610A-4D87-9DD6-90F94B885574}"/>
    <dataValidation allowBlank="1" showInputMessage="1" showErrorMessage="1" prompt="Escriba el correo electrónico de la persona responsable de reportar la ejecución de la acción." sqref="J8" xr:uid="{BA08EDC8-F080-4DC5-AC10-EED5490AB95D}"/>
    <dataValidation allowBlank="1" showInputMessage="1" showErrorMessage="1" prompt="Escriba el nombre de la Dirección, Subdirección, Grupo o Unidad encargada de la ejecución de la acción._x000a__x000a_Utilice nombres completos y no siglas." sqref="H8" xr:uid="{426C1B4C-F027-4BD6-A712-E5E0C42EEC8B}"/>
    <dataValidation allowBlank="1" showInputMessage="1" showErrorMessage="1" prompt="Escriba la entidad responsable de la ejecución de la acción. Utilice nombres completos y no siglas." sqref="G8" xr:uid="{2E41F1D9-6D37-45A2-A9C4-71A916028B64}"/>
    <dataValidation allowBlank="1" showInputMessage="1" showErrorMessage="1" prompt="Escriba los recursos asignados para cada vigencia" sqref="AM21 AW18 AQ21 AU192 BA18 BE18 BI18 BM18 AU103:AU104 BC103:BC104 BG103:BG104 BK103:BK104 BO103:BO104 BA103:BA105 BG133:BG135 BQ138:BQ139 BM138:BM139 BI138:BI139 BE138:BE139 BK138 BG138 BC138 AY138 BO138 BA138:BA140 AM145:AM146 AU145 AV148:AW148 AQ145:AQ147 BU163:BU165 BM24:BM26 BI24:BI26 BE24:BE26 BC24:BC26 BO24:BO26 BK24:BK26 BG24:BG26 AY24:AY26 AU24:AU26 BS16:BS17 AM17 AQ17 AY119 BC119 BG119 BO119 BK119 BA119 BE119 BI119 BM119 BQ119 BS119 BG34 BK34 BO34 BA34 BE34 BI34 BM34 BQ34 AU34 AY34 AW34 CB200:CB212 BE103:BE105 BI103:BI105 BM103:BM105 BQ103:BQ105 AS36 BU32:BU35 AM31:AM35 AW113 AS119:AS121 AQ64:AQ66 AQ103:AQ104 AQ60 AS188 BK188 BU188 AQ188 BS188 AO185:AO188 AO192:AO194 AM193:AM194 AS192:AS194 AY183 AU183 BQ151 AQ192 BS197 BS192 AY192 BU192:BU193 AQ194 AS196:AS197 AM204 AQ197 AM196:AM197 AM182 BU203 AS200:AS205 AM200:AM202 AR206 AX206 AV206 AT206 BC55 AY55 AU54 AW54 BS65 BU65 AO64:AO66 AS64:AS66 AM64:AM66 AY103:AY104 AW103:AW105 BQ107 AU107 AY107 BC107 BG107 BK107 BM107 BI107 BE107 BA107 AW107 BO107 BK109 AU109 AY109 BC109 BG109 BO109 AU113 AM118 AW119 BU119:BU121 BS121 AQ121 BS123:BS125 BU123:BU125 BS127 BU127 BE131 BG131 BC131 AY131 BI131 AW131 BA131 BC133:BC135 AU131:AU136 BK131:BK135 AW133:AW135 BA133:BA135 BE133:BE135 BI133:BI135 AY133:AY135 BA109:BA117 BM135 BO135 BQ135 BQ109:BQ117 BK111:BK117 BO111:BO117 AW109:AW111 AY111 AS138:AS140 AS123:AS135 AO113:AO135 AM121:AM136 AQ123:AQ136 BU138:BU141 BS53:BS55 AS113:AS117 AM113 AQ113 AY113 AO108:AO111 AQ106:AQ111 AM103:AM111 AU111 BG111:BG117 BC111:BC117 BS106:BS117 BM109:BM117 BI109:BI117 BE109:BE117 BK167:BK168 BO167:BO168 AU167:AU169 AY167:AY169 BC167:BC169 BG167:BG168 AU188 AY188 BC188 BG188 BO155 BQ155 AK155 AI155 BS155 BU155 AO165 AS183:AS184 AQ183:AQ184 AQ157:AQ158 CB10:CB159 AS165 BS140:BS141 AM164:AM165 BU144:BU146 BU11:BU30 BS19:BS21 AM13 AM15 BS12:BS14 BQ18 AM19 AQ19 AQ24:AQ26 AM24:AM26 BS24:BS29 AU29 AQ29 AM29 AS24:AS34 AW29 CB214:CB220 AY31 BS31:BS35 AU31 AQ31:AQ34 BO31 BK31 BG31 BC31 BC34 AQ53:AQ58 BU53:BU55 BS57:BS59 BU57:BU59 AQ47:AQ48 BC43 BQ24:BQ26 AW24 BA24 BG43 BK43 AW45:AW46 BO43 BS43 AS43 AW43 BA43 BE43 BI43 BM43 AS45:AS48 BQ43 BS45:BS48 AO45:AO48 BU43 AM45 BI11 BM11 AS53:AS60 AO53:AO60 AM53:AM59 AM62 AO62 AS62 AQ62 AP35:AQ35 AM43 AO43 AW48 AM47:AM48 AU48 AO71 BU71 AS71 AM71 BC71 BG71 BK71 BO71 AU71 AY71 BS71 AQ71 BU77:BU78 BS77:BS78 AO77:AO78 AQ77:AQ78 AM77:AM78 BS81 AO81 BU81 AS81 BS102:BS104 AS102:AS111 BU102:BU117 AO102:AO106 BU83 AO83 AS83 BG173:BG175 BC172:BC175 AY172:AY175 BO173:BO175 AU178 AO167:AO169 BU167:BU169 AQ167:AQ169 BS167:BS169 AM167:AM169 BQ179:BQ187 BE180 BO179:BO188 AQ200:AQ202 AO200:AO205 BS200 BS178 AS178 BU178 AQ178 AQ204 BU195:BU197 AO196 BO214:BO215 AU214:AU215 AY214:AY215 BC214:BC215 BG214:BG215 BK214:BK215 AM214:AM215 AS214:AS215 AO214:AO215 AQ214:AQ215 BS214:BS215 AM187:AM188 AR186 AO209 BA40 AS209 AW138:AW140 AN163:AN164 BE40 BI40 BM40 BQ40 BK173:BK175 AM172:AM175 AS172:AS175 BU172:BU175 BE169 BS172:BS175 AO172:AO175 AU172:AU175 BS148 BU148 AQ149 AQ43 AU43 AY43 BU45:BU48 BA45 BE45 BI45 BM45 BQ45 AQ45 AU45 AY45 BC45 BG45 BK45 BO45 AW58 BA58 BE58 BI58 BM58 BQ58 AU58 AY58 BC58 BG58 BK58 BO58 AS77:AS78 AW78 BA78 BE78 BI78 BM78 BQ78 AU78 AY78 BC78 BG78 BK78 BO78 BU130:BU136 BS130:BS136 AY145 BC145 BG145 BK145 BO145:BO146 AW144:AW145 BA144:BA145 BE144:BE145 BI144:BI145 BM144:BM145 BQ144:BQ146 BO151 AQ151:AQ153 AM150:AM153 BS151:BS153 BU151:BU153 BS164:BS165 AU164:AU165 BK164:BL164 BS138 AM138 AQ138 AQ143 BS145:BS146 AS143:AS153 AO143:AO153 AO50 AM39:AM41 AO39:AO41 BU39:BU40 AQ39:AQ41 AS39:AS41 BS39:BS40 AU40 AY40 BC40 BG40 BK40 BO40 AW40 AR163:AR164 AV163:AV164 AY164:AZ164 BC164:BD164 BG164:BH164 AS167:AS169 AW169 BA169 BE172 AW172 BA172 AQ172:AQ175 AM178:AM180 AO178:AO183 AQ180 AU180 AY180 BC180 AS180 AW180 BA180 AM184 AO211 AS211 BS211 BU211 AM211 BS158:BS161 BQ11 AW11 BA11 BE11 AS50 AU138 AO138:AO140 AQ164:AQ165 BP163:BQ163 AW163 AZ163:BA163 BD163:BE163 BH163:BI163 BL163:BM163 BT163 AR148 AN148 AN144 AR144 AV144 AZ144 BD144 BH144 BL144 BP144 BT144 AN139:AN140 AR139:AR140 AV139:AV140 AZ139:AZ140 BD139 BH139 BL139 BP139 BT139 BU158:BU161 BQ158:BQ161 BO158:BO161 AO24:AO34 AS11:AS22 AO11:AO22 AO156:AO158 AM156:AM158 AS156:AS158 AO160:AO163 AM160:AM162 AQ162 AS162:AS163 CB162:CB197 DD10:DD220 CW10:CW220 DK10:DK220 CI10:CI220 CP10:CP220" xr:uid="{2F087E57-1604-4988-B82E-0A055C4FB9A6}"/>
    <dataValidation allowBlank="1" showInputMessage="1" showErrorMessage="1" prompt="Total costo acción Ni -Total recurso asignado acción Ni." sqref="AQ206" xr:uid="{23257DF3-910D-4DD4-B548-5A0592C9F613}"/>
    <dataValidation allowBlank="1" showInputMessage="1" showErrorMessage="1" prompt="Escriba la fuente de financiamiento de la acción para cada vigencia." sqref="BS64 BQ64 BO64 BM64 BK64 AY64 BC64 BI64 AW64 BG64 BE64 BA64 AU64 BO56 BK56 BK162 AY162 BC162 BG162 BS162 BO162 BS194 AU17 BE156 BE162 BI162 BM162 BQ162 BU162 BA162 AW16:AW17 BI156 BA36 BE36 BI36 BM36 BQ36 BU36 AW36 AW114:AW117 BA66 BE66 BG66 AW66 BQ60 BO60 BK60 BS60 BU194 BS206 AU56 AY56 BC56 BI56 BG56 BE56 BA56 BU56 BQ56 BS56 AW56 BU126:BU132 BS126:BS132 BU64 BI66 BC66 AY66 BK66 BM66 BO66 BQ66 BS66 BU66 AU66 BM60 BG60 AU60 AY60 BI60 AW60 BC60 BE60 BA60 BU60 AY29 BM56 AO155 BA156 AW156 BU156 BQ156 BM156 AW27 AW62 AU62 AW81 AW102 AW83 AW85 BU85 BO85 BQ85 BK85 BM85 BG85 BI85 BC85 BE85 AY85 BA85 AW50 BS172 BU172 BU201:BU202 BS201:BS202 BS204 BU204:BU206 BU214:BU215 BU209 BS85" xr:uid="{CEABDEF4-B0FC-4EAA-A87C-3B2141B1A2E0}"/>
    <dataValidation allowBlank="1" showInputMessage="1" showErrorMessage="1" prompt="El balance cualitativo corresponde a las instrucciones indicadas en esta sección para cada uno de los cortes establecidos en el documento CONPES." sqref="B224" xr:uid="{BB9C5C3B-9D95-4E03-9083-531EB4B5130A}"/>
    <dataValidation allowBlank="1" showInputMessage="1" showErrorMessage="1" prompt="En caso de cambios en los responsables de la ejecución, por favor actualizar la información con la del nuevo responsable." sqref="G7" xr:uid="{E7B4A965-CF86-489F-8622-F5C67FF59CDC}"/>
    <dataValidation allowBlank="1" showInputMessage="1" showErrorMessage="1" prompt="Escriba el nombre completo de la persona responsable de reportar la ejecución de la acción." sqref="I8" xr:uid="{9D9F54F5-B569-4FC4-A674-5CC0DE7D7C9C}"/>
    <dataValidation allowBlank="1" showInputMessage="1" showErrorMessage="1" prompt="Defina el período de tiempo en el que la acción será ejecutada." sqref="K7:L7" xr:uid="{8F7E0E19-3A96-454A-A09A-A1BBF549D759}"/>
    <dataValidation allowBlank="1" showInputMessage="1" showErrorMessage="1" prompt="Escriba la fecha de aprobación del Documento CONPES que se encuentra en el documento publicado (instrucciones PAS. Paso 1. Datos básicos)._x000a__x000a_Formato DD/MM/AAAA." sqref="I4:J4" xr:uid="{79484BDD-C484-4D44-AF87-675698EFB804}"/>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AB7" xr:uid="{FF9EF515-97DF-42C2-AF5F-EA68536E4E40}"/>
    <dataValidation type="decimal" allowBlank="1" showInputMessage="1" showErrorMessage="1" sqref="AM114:AM117 BC203 BG203 BK203 BO203 AC27:AJ27 AC126:AK134 AD143:AE143 AU105 AY105 BC105 BG105 BK105 BK110 AD121:AK121 AQ119 AC60:AK60 AD162:AJ163 AC65:AJ66 BS209 AI20:AJ20 AC59:AJ59 AQ114:AQ117 AC17:AK17 AD135:AJ135 AC164:AJ165 AD149:AE149 AC152:AJ152 AD153:AJ153 AC156:AK156 AC157:AJ157 AJ136 AC21:AJ21 AC25:AG26 BO15 BK15 BC15:BC16 BG15 AM16 AC113:AG117 AU114:AU117 BO105 AC104:AJ109 AD118:AE118 AC19 AD151:AJ151 AC103:AK103 BK154 BO154 BS154 AQ154 AY154 BC154 BG154 AU154 AC57:AE57 BO30 AC54:AJ55 AC121:AC122 AC32:AK33 AC125 AU119 AC119:AK119 AC123:AJ123 AC167:AJ169 AC64:AK64 AK66 AD58:AE58 AD24:AG24 AG136:AH136 AC136:AC140 AC146:AJ146 BC193 BG193 BK193 BO193 BS193 AY193 AU193 AQ193 AK193 AD136:AE136 AQ136 AM136 BC136 AY136 BO136 BG136 AC192:AJ194 BK136 AK167 AC188:AK188 BS203 AD203:AK203 AM203 AQ203 AU203 AY203 AQ105 BO110 AU110 AY110 BC110 BG110 AM119 AC124:AK124 AE125:AK125 AH110:AK117 AC110:AG111 AC196:AJ197 AF57:AJ58 AC154:AK154 BO156:BO157 AC155:AG155 AM155 Y155:AA155 BG156:BG157 BC156:BC157 AQ156 BS156:BS157 BK156:BK157 AU156 AY156 AH24:AJ26 AU83 AC183:AJ184 BO163 AC178:AJ178 AC150:AK150 AU143 BK150 BO150 AC39:AJ41 AQ11:AQ16 AM20 BG20 AQ20 AU20 AY20 BC20 BG13 BC13 BK13 BO13 AC13:AJ13 AC15:AJ16 AC14:AK14 AM14 AU11:AU16 AY11:AY16 AM11:AM12 AC211:AJ211 AC28:AK30 BS30 AM30 AQ30 AU30 AY30 BC30 BG30 BK30 AD31:AK31 AD34:AK35 AC53:AK53 AC43:AJ43 BG44 AM44 AQ44 AU44 AY44 BS44 BK44 BO44 BC44 BS50:BS51 AC52:AJ52 AC44:AK45 BG50:BG52 BK50:BK52 BO50:BO52 AC49:AK49 AC51:AK51 BS11 BC50:BC52 AU50:AU52 AQ50:AQ52 AM50:AM52 AD50:AK50 AC56:AK56 AC62:AE63 BS150 AC46:AJ47 AD48:AJ48 AC71:AK71 AC77:AK77 AC78:AJ78 BC81 AY81 AM81 AQ81 AU81 AC81:AJ81 AC102:AJ102 AU102 AQ102 AM102 AY102 BC102 AQ83 AM83 AY83 BC83 AK174 AC201:AJ202 AC200:AK200 BC209 AU209 AY209 AE209:AK209 BO209 BK209 BG209 AQ211 AC203:AC204 BS205 AU205 AY205 AE205:AK205 BO205 BK205 BG205 BC205 AK196 AY196 BC196 BG196 BK196 BO196 BS196 AU196 AQ196 AC215:AJ217 AD214:AK214 AY211 AU211 AC172:AJ175 AY50:AY52 AU147:AU150 AD147:AE147 AD140:AJ140 AY27 BC27 AU27 AM27:AM28 AQ27:AQ28 AU136 AQ150 AY150 BC150 BG150 BO11 AC11:AK12 BK11 BG11 BC11 AC145:AK145 AD138:AJ138 BO139 AD139:AK139 AM139:AM140 AQ139:AQ140 AU139:AU140 AY139:AY140 BC139 BG139 BK139 AC148:AJ148 AQ148 AM148 AQ163 AU163 AY163 BC163 BG163 BK163 AC158:AK158" xr:uid="{BACF5A02-83CA-4326-A8BA-0E229CBD34ED}">
      <formula1>1</formula1>
      <formula2>1000000000</formula2>
    </dataValidation>
    <dataValidation type="date" allowBlank="1" showInputMessage="1" showErrorMessage="1" error="Escriba la fecha en formato DD/MM/AAAA" sqref="K188 K77:K78 K119 L218 K204:K205 K21:L21 K12:L12 L59 K81:L81 K178 L133:L134 K197:L197 L203 K150 L179:L182 L175 L172 K220:L220 K136:K137 L140:L141 K183:K184 L121 L64:L65 L194 K200:K202 L130 L187 L164 K145:K146 L16:L17 K87:K88 K143:L143 L35 K190 L39 K121:K134 L211 L26:L29 L155 L192 L112 K172:K175 L168:L169 K14:K18 L14 K26:K34 K43:K60 K39:K40 L46:L47 L49:L50 L54:L56 K103:K117 K152:K157 L216 L162 K167:K169 K194:K195 K210:K212 K214:K217 L22 K160:K165" xr:uid="{5B310D97-C9CD-4AC9-85A7-B128431383C8}">
      <formula1>36526</formula1>
      <formula2>55153</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D158:D159 D34 D165 AZ155 D188:D189 BX10:BX159 D63:D66 D43:D48 D71 D77:D78 D81 D83 D85 D87:D88 D172 D203:D206 D192:D201 D220 D10:D27 D51:D61 D102:D134 D154:D155 BX214:BX220 D40:D41 D209:D217 BX200:BX212 D145 AZ158 BX162:BX197" xr:uid="{1A6C2873-9318-45D5-A32A-2B01D77C29B5}"/>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Y9 CF9 CM9 CT9 DA9 DH9" xr:uid="{A4609C32-6DCC-4736-9610-48B99C3FDAF7}"/>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Z9:CA9 CG9:CH9 CN9:CO9 CU9:CV9 DB9:DC9 DI9:DJ9 BU79:BV80" xr:uid="{69A8CBF4-6663-499B-AD18-1C62451ADEF4}"/>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CC9 CJ9 CQ9 CX9 DE9 DL9" xr:uid="{AD1C0786-31A7-498E-BA81-A42EF1AAEC57}"/>
    <dataValidation allowBlank="1" showInputMessage="1" showErrorMessage="1" prompt="Escriba el avance acumulado financiero para cada acción formulada (recursos ejecutados en desarrollo de la acción). _x000a__x000a_" sqref="CB9 CI9 CP9 CW9 DD9 DK9" xr:uid="{F4DEA3CA-45FD-43DB-A849-E854ACBB8F5B}"/>
    <dataValidation allowBlank="1" showInputMessage="1" showErrorMessage="1" prompt="Total recurso asignado acción Ni - Total costo acción Ni" sqref="AM222 BO222 BW222 AQ222 AU222 AY222 BC222 BG222 BK222 BS222 AN206" xr:uid="{AECBFDF1-7DFC-4E19-9959-802F0E3C5220}"/>
    <dataValidation allowBlank="1" showInputMessage="1" showErrorMessage="1" prompt="Total recurso asignado acción Ni - Total costo acción Ni _x000a_" sqref="AP206" xr:uid="{F006E1D0-AD4E-44AE-B542-459C74380382}"/>
    <dataValidation allowBlank="1" showInputMessage="1" showErrorMessage="1" prompt="Porcentaje de cumplimiento del objetivo general: Realice una sumatoria del porcentaje de cumplimiento de los objetivos específicos." sqref="CD222:CE222 CK222:CL222 CR222:CS222 CY222:CZ222 DF222:DG222 DM222:DN222" xr:uid="{1B466931-B0C8-470E-AA3A-9DA400C0B0C2}"/>
    <dataValidation allowBlank="1" showInputMessage="1" showErrorMessage="1" prompt="Efectúe la diferencia entre los costos de las acciones y los recursos asignados para cada vigencia y para el agregado de las vigencias." sqref="B222" xr:uid="{CBE42411-0014-4F3D-AB59-3C72EE5A40D9}"/>
    <dataValidation allowBlank="1" showInputMessage="1" showErrorMessage="1" prompt="Recursos ejecutados (acumulados) en millones de pesos._x000a__x000a_ " sqref="CB222 CI222 CP222 CW222 DD222 DK222" xr:uid="{2AE9D493-044F-45F3-8883-50A0EA68EEF9}"/>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CC222 CJ222 CQ222 CX222 DE222 DL222" xr:uid="{6BD82F0F-164C-4E33-8A5C-BB9AD40F79A0}"/>
    <dataValidation type="textLength" allowBlank="1" showInputMessage="1" showErrorMessage="1" error="El número de carácteres debe estar entre 50 y 500. " prompt="Escriba el objetivo general del documento CONPES aprobado (instrucciones PAS. Paso 1. Datos básicos)._x000a_" sqref="E5" xr:uid="{9B18C54A-1EA2-42B5-A2BA-E2D2950F2C3A}">
      <formula1>50</formula1>
      <formula2>500</formula2>
    </dataValidation>
    <dataValidation allowBlank="1" showInputMessage="1" showErrorMessage="1" prompt="1. Totalice el costos de las acciones por vigencia._x000a_2. Totalice los recursos asignados de las acciones por vigencia." sqref="U221:AA221 C221:S221 K38:AB38 P36 D153 G207:J207 H208:J208 N207:P208" xr:uid="{A14B6EC8-E37C-4DDF-BDCC-CAAC3DC8CA8B}"/>
    <dataValidation allowBlank="1" showInputMessage="1" showErrorMessage="1" prompt="Escriba la fórmula de cálculo del indicador, teniendo en cuenta las indicaciones del paso 1. Plan de acción en la hoja &quot;Instrucciones PAS&quot;." sqref="O8:O9" xr:uid="{893FE4D7-F155-4E9F-BF55-B87FA8D75584}"/>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CD8:CE8 CK8:CL8 CR8:CS8 CY8:CZ8 DF8:DG8 DM8:DN8" xr:uid="{10E9625D-C50F-4D80-B6CE-79E77BDF56EF}"/>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D97:D100 D135 D164 D137:D138 D152 D157 D76 D150 D167:D169 D172:D175 D178 D143:D144" xr:uid="{16874DB6-E30D-4079-ABFE-33D1344A2501}"/>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44AA82EF-AF07-4895-AA06-AB6493E494D2}"/>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675CD810-F7FC-4F22-A830-B12547ECC891}"/>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D9DD0C9A-3685-4ED8-B13F-D494E4BEBDF4}"/>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BX7:BX9" xr:uid="{23E99906-1317-45DF-ABD9-6D67F60E9196}"/>
    <dataValidation allowBlank="1" showInputMessage="1" showErrorMessage="1" prompt="Los indicadores de cumplimiento se clasifican en:_x000a_1. Indicadores de gestión._x000a_2. Indicadores de producto._x000a_3. Indicadores de resultado._x000a__x000a_Para mayor información consulte la hoja de Instrucciones PAS" sqref="M8:M9" xr:uid="{48DCAA3B-F002-4269-B5A0-81843D65FFF2}"/>
    <dataValidation allowBlank="1" showInputMessage="1" showErrorMessage="1" prompt="Total de los recursos asignados para cada acción al finalizar la vigencia del documento CONPES." sqref="BW8" xr:uid="{14F1A3D8-3817-4158-948E-3656DE3C7E97}"/>
    <dataValidation allowBlank="1" showInputMessage="1" showErrorMessage="1" prompt="Ver pestaña &quot;instrucciones PAS&quot; paso 3. Adicione o elimine filas conforme al número de cortes establecidos. Responda las preguntas en maximo 750 caracteres.  _x000a_" sqref="B225:B228" xr:uid="{31B20405-22B9-479D-BC11-83A5A628E110}"/>
    <dataValidation allowBlank="1" showInputMessage="1" showErrorMessage="1" prompt="La sección de seguimiento a la ejecución de las acciones debe diligenciarse una vez el documento CONPES ha sido aprobado, y debe actualizarse de acuerdo a los cortes establecidos en el documento." sqref="BY6:CL6 CN6:DN6" xr:uid="{DAB8BADC-5193-4572-B9C6-22563EC71945}"/>
    <dataValidation allowBlank="1" showInputMessage="1" showErrorMessage="1" prompt="Escriba el nombre del documento CONPES como fue aprobado en sesión CONPES (instrucciones PAS paso1. Datos básicos)." sqref="F3:AC3" xr:uid="{B49F2321-B6D5-4D3E-A43D-9D4C96299E6C}"/>
    <dataValidation allowBlank="1" showInputMessage="1" showErrorMessage="1" prompt="Escriba el número del documento CONPES, que fue asignado en el momento de la publicación (instrucciones PAS paso 1. Datos Básicos)." sqref="F4" xr:uid="{A636A148-7026-4672-9289-7A251A089BFF}"/>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BY222:CA222 CF222:CH222 CM222:CO222 CT222:CV222 DA222:DC222 DH222:DJ222" xr:uid="{C9C06962-00CC-403D-99CB-ADD9696B0C66}"/>
    <dataValidation allowBlank="1" showInputMessage="1" showErrorMessage="1" prompt="La sección de Plan de Acción debe diligenciarse en el momento de la elaboración del documento CONPES." sqref="CM6 C6:BW6" xr:uid="{3513C2CE-897D-42AC-AF89-CBF89EB0CD7F}"/>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AC7:AL7" xr:uid="{F5DB38EF-5BF3-4693-8F60-25FB6EBA1829}"/>
    <dataValidation type="textLength" allowBlank="1" showInputMessage="1" showErrorMessage="1" error="El número de carácteres debe estar entre 50 y 500. " prompt="_x000a_" sqref="AD5:DN5" xr:uid="{6C8F4515-6CD5-4452-AF44-A69A57FF30CA}">
      <formula1>50</formula1>
      <formula2>500</formula2>
    </dataValidation>
    <dataValidation type="textLength" allowBlank="1" showInputMessage="1" showErrorMessage="1" sqref="C229:DN244 AM154:AP154 AM216:AP217 AR207:BV208 AS154:AT154 AW154:AX154 BA154:BB154 BE154:BF154 BI154:BJ154 BP154:BR154 BU157:BV157 BM154:BN154 BA157:BB157 BE157:BF157 BQ157:BR157 BM157:BN157 BI157:BJ157 BU154:BV154 AM207:AP208 AR216:BV216 AQ217:BV217" xr:uid="{BC7E8245-5902-4F5E-BCFA-C474F1B4C9AE}">
      <formula1>0</formula1>
      <formula2>500</formula2>
    </dataValidation>
    <dataValidation allowBlank="1" showInputMessage="1" showErrorMessage="1" prompt="Escriba el nombre del documento CONPES como fue aprobado en sesión CONPES (instrucciones PAS paso 0. Datos básicos)." sqref="E3" xr:uid="{8899C815-98BD-427C-8411-677B35AF2BCC}"/>
    <dataValidation allowBlank="1" showInputMessage="1" showErrorMessage="1" prompt="Escriba el número del documento CONPES, que fue asignado en el momento de la publicación (instrucciones PAS paso 0. Datos Básicos)." sqref="E4" xr:uid="{7CF534CD-B7FC-4796-9CD0-6E2DC73ADA46}"/>
    <dataValidation allowBlank="1" showInputMessage="1" showErrorMessage="1" prompt="Dejar vacía." sqref="N4:Q4" xr:uid="{DE2BAB5B-2A5D-4155-AFF2-A07636DF31B9}"/>
    <dataValidation allowBlank="1" showInputMessage="1" showErrorMessage="1" prompt="Escriba las entidades líderes del documento CONPES. Deben ser las que pertenecen al Consejo Nacional de Política Económica y Social (CONPES)." sqref="AO4" xr:uid="{F27781ED-4E07-4A18-BCFF-F31E0C750A97}"/>
    <dataValidation allowBlank="1" showInputMessage="1" showErrorMessage="1" prompt="Indique si la acción formulada depende de la ejecución de otra acción. En caso de que no exista relación escriba la palabra No, en caso contrario indique el número de la acción o las acciones que estén relacionadas con la acción después de la palabra Sí." sqref="F7:F9" xr:uid="{A5573E21-4A9E-4AFB-8633-10D17C5190C9}"/>
    <dataValidation allowBlank="1" showInputMessage="1" showErrorMessage="1" prompt="Escriba el valor de la meta para cada vigencia en línea con la forma de acumulacón definida. _x000a__x000a_Elimine o adicione columnas de acuerdo al tiempo de ejecución de la política._x000a__x000a_" sqref="S8:AA9" xr:uid="{849D06C9-AC55-40B9-9127-8D0BECA3A105}"/>
    <dataValidation allowBlank="1" showInputMessage="1" showErrorMessage="1" prompt="Escriba el valor de la meta final en línea con la forma de acumulación._x000a__x000a_Acumulado y reducción acumulada: meta del último año de ejecución._x000a__x000a_Flujo y reducción: promedio de metas anuales._x000a__x000a_" sqref="AB8:AB9" xr:uid="{BDE2F12D-2112-4AED-A00C-A1FC9BA1BBD7}"/>
    <dataValidation allowBlank="1" showInputMessage="1" showErrorMessage="1" prompt="Indique el costo de las acciones en millones de pesos, es decir los recursos necesarios para implementar la acción. No se deben diligenciar celdas con valores cero. En los casos en los que no pueda determinar los costos, deje la celda vacía." sqref="AC8:AK9" xr:uid="{6C4E1959-44C1-4724-BC8A-601802355923}"/>
    <dataValidation allowBlank="1" showInputMessage="1" showErrorMessage="1" prompt="Indique los recursos asignados en millones de pesos y sus fuentes. En los casos en los que no pueda determinar los costos, deje la celda vacía, pero especifique su fuente. Los recursos deben estar en pesos del año de la aprobación del documento." sqref="AM8 AQ8 BS8 AU8 AY8 BC8 BG8 BK8 BO8" xr:uid="{140EADC1-34C2-4192-A05B-D61CC105B4AA}"/>
    <dataValidation allowBlank="1" showInputMessage="1" showErrorMessage="1" prompt="Escriba el valor y fecha de la línea base de los indicadores que tienen disponibles dicha información. Recuerde que la línea base debe estar expresada en la misma unidad de la meta." sqref="Q8:R8" xr:uid="{9220AB64-2D73-4EC1-AD63-DC1FE4FED5B1}"/>
    <dataValidation allowBlank="1" showInputMessage="1" showErrorMessage="1" prompt="Seleccione la forma de acumulación del indicador, teniendo en cuenta las indicaciones del paso 1. Plan de acción en la hoja &quot;Instrucciones PAS&quot;." sqref="P8:P9" xr:uid="{F2455A36-C8DC-43A9-85A9-18448F60B29D}"/>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AB206 S206:Z206 AB149 V118:AA118 AF149:AK149 Z98:AC98 S91 S90:AB90 AS84 AF147:AK147 S97:AC97 AF143:AK143 S122:AA122 S98:V98 AF118:AK118 AF62:AK63 V62:AB63 S61:AB61 V73 Q74 S74:AB74 S76 AQ84 U87:AB88 W220:AB220 S212:AA212 S101 S23:AC23 AM23" xr:uid="{55F9C97D-A1E8-4AA7-BD25-9C400275E661}"/>
    <dataValidation allowBlank="1" showInputMessage="1" showErrorMessage="1" prompt="De acuerdo a la fecha de aprobación se mostrata el año correspondiente a cada vigencia. " sqref="BE218 BA218:BA219 AY218:AY219 BL219 BC219 BG219 BO219 AD219:AI219 AQ218:AQ219 AU218:AU219 BK61 AQ122 AU122 AC94:AC95 AD96:AH96 BI99:BI100 BE99:BE100 AY122 BC122 BG122 AD94:AE94 AM90:AM91 BO61 BS61 BC61 AC90:AK91 AP90:AQ91 AC92:AE93 AY61 AP82:AQ82 BS122 AD122:AK122 AM61 AC69:AJ69 AD73:AK73 AQ61 AU61 AC61:AK61 BG61 AT90:AU91 BU99:BU100 AD95:AF95 BQ99:BQ100 BM99:BM100 BA99:BA100 BS76 AS99:AS100 BK122 AD97:AK100 AW99:AW100 AM97:AM100 AC206:AK206 AD218:AH218 AS218:AS219 AC212:AK212 BO122 AC82:AK83 AP94:AP95 AQ95 AU95 AC70:AK70 AQ99:AQ101 BU76 AQ74 AY74 AB74:AK74 BC74 AU74 AM73:AM74 AC75:AK75 AM82 BE76 BI76 BA76 AW76 AS76 AD76:AK76 BM76 BQ76 AM76 AC79:AE80 AT82:AU82 AD84 AC87:AK88 AW218:AW219 AG220:AK220 AC220 AC170:AK170 AY76 BC76 BG76 BK76 BO76 BO99:BO100 BC99:BC100 AD101 BS100 AU100 AY100 BG100 BK100 AD23:AK23 AQ23 AU23 AY23 BC23 BG23 BK23 BO23 BS23" xr:uid="{20F49D0A-BF0E-4362-A196-2659FCA917B8}"/>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192:E197 E10:E69 E200:E212 E214:E220 E71:E134" xr:uid="{4D715B0D-CD47-47BF-934D-2E09FE608CC7}">
      <formula1>C10</formula1>
    </dataValidation>
    <dataValidation allowBlank="1" showInputMessage="1" showErrorMessage="1" prompt="Escriba la fórmula de cálculo del indicador, teniendo en cuenta las indicaciones de la DSEPP consignadas en su Guía Metodológica. " sqref="N173:O173 O105 O99 O206:P206 O91 O182 O167:O168 O122 O212:P212 N174 N167 O174:O175 O145 O23" xr:uid="{77EEB910-3140-4655-9FBE-1EEB233A25C1}"/>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129:E133" xr:uid="{F9952E96-3ADD-49EF-873E-319E8C9293DC}">
      <formula1>#REF!</formula1>
    </dataValidation>
    <dataValidation type="custom" allowBlank="1" showInputMessage="1" showErrorMessage="1" sqref="C10 C103:C135 C192" xr:uid="{F298DF40-16F1-4271-8DA5-4F66BC4F6193}">
      <formula1>1</formula1>
    </dataValidation>
    <dataValidation type="whole" allowBlank="1" showInputMessage="1" showErrorMessage="1" sqref="AC186:AH187 AC160:AJ161 AI185:AK187 AC182:AK182 AG181:AK181 AC179:AK180" xr:uid="{5E35425B-437C-42FA-A017-AD9AFAD3D40D}">
      <formula1>1</formula1>
      <formula2>1000000000</formula2>
    </dataValidation>
    <dataValidation type="decimal" allowBlank="1" showErrorMessage="1" sqref="AQ209 AM209 AM205 AC209:AD209 AQ205 AC205:AD205" xr:uid="{8F28272F-6A34-4D83-B123-8ED93835679B}">
      <formula1>1</formula1>
      <formula2>1000000000</formula2>
    </dataValidation>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M206 M212 M210" xr:uid="{6728F382-26E4-4D54-B9E7-E93946166FEB}"/>
    <dataValidation allowBlank="1" showErrorMessage="1" prompt="Seleccione el nombre de la dirección técnica o grupo del DNP responsable de liderar el documento CONPES (instrucciones PAS. Paso 0. Datos básicos). " sqref="X4:AL4" xr:uid="{E589CA8F-3BDA-4E7E-B7AC-17DA92C098E4}"/>
    <dataValidation allowBlank="1" showInputMessage="1" showErrorMessage="1" prompt="Escriba la fuente de financiamiento de cada acción para cada vigencia." sqref="BU179:BU187 BS179:BS187" xr:uid="{3E3E1841-4AF5-4DB8-912B-34535E3F818E}"/>
    <dataValidation allowBlank="1" showInputMessage="1" showErrorMessage="1" prompt="Escriba el año de la línea base." sqref="Q185:R186 Q180:R181 R179" xr:uid="{6D6B4DDA-58E6-462A-B849-65A407DD98C0}"/>
    <dataValidation operator="lessThanOrEqual" allowBlank="1" showInputMessage="1" showErrorMessage="1" error="La ponderación de la acción debe ser menor a la del objetivo específico. La sumatoria de las ponderaciones de las acciones de un mismo objetivo, debe ser igual a la ponderación del objetivo. " sqref="E135:E163" xr:uid="{406B2A64-E533-433B-B0DB-FE3767BFCC70}"/>
    <dataValidation allowBlank="1" showInputMessage="1" showErrorMessage="1" prompt="Actualice la fórmula conforme:_x000a_1) Al número de acciones de cada objetivo (adición de filas)_x000a_2) Al corte evaluado, ya que la fórmula está indicando el avance del objetivo 1 en el corte No.1" sqref="CK10:CL220 CR10:CS220 CY10:CZ220 DF10:DG220 DM10:DN220 CD10:CE220" xr:uid="{F6427458-9B96-4616-A7BF-DDC43CE64893}"/>
  </dataValidations>
  <hyperlinks>
    <hyperlink ref="J22" r:id="rId1" xr:uid="{C3187C8B-B725-4C0B-A309-0CCC33AF68E8}"/>
    <hyperlink ref="J20" r:id="rId2" xr:uid="{BBB3D771-BC45-4CCC-97DC-8CB344E78FDC}"/>
    <hyperlink ref="J28" r:id="rId3" xr:uid="{18961CA9-BAF0-4951-AE64-50D785F827FA}"/>
    <hyperlink ref="J29" r:id="rId4" xr:uid="{00315028-33F7-4EF0-9E38-556B4AD91A1E}"/>
    <hyperlink ref="J21" r:id="rId5" xr:uid="{6B71DB01-211D-4CD9-BD09-51ECA617AB13}"/>
    <hyperlink ref="J27" r:id="rId6" xr:uid="{47E2BB4E-0D04-4719-BE85-A83D27F44723}"/>
    <hyperlink ref="J185" r:id="rId7" xr:uid="{F3504AC9-01AB-4FB8-A478-2E7F12E415D7}"/>
    <hyperlink ref="J186" r:id="rId8" xr:uid="{ABCFA35E-7D4A-4E1D-A93E-752B568B156A}"/>
    <hyperlink ref="J192" r:id="rId9" xr:uid="{2D9C38C6-8135-4F42-B62F-580070F2D244}"/>
    <hyperlink ref="J139" r:id="rId10" display="Diego.llanos@minjusticia.gov.co" xr:uid="{5FD30794-B755-4C98-A494-9A684BF76033}"/>
    <hyperlink ref="J143" r:id="rId11" display="gheidygallo@presidencia.gov.co" xr:uid="{1B5AF8AA-9C1D-4F72-8D74-50ACFA832B2A}"/>
    <hyperlink ref="J144" r:id="rId12" display="Diego.llanos@minjusticia.gov.co" xr:uid="{6A95542A-7A16-4704-97BA-2F9DBA1BF3D1}"/>
    <hyperlink ref="J153" r:id="rId13" display="mailto:jevargas@mineducacion.gov.co" xr:uid="{E5583AD1-1D76-409B-B5A5-73EAC839561D}"/>
    <hyperlink ref="J158" r:id="rId14" display="mailto:mfardila@mintic.gov.co" xr:uid="{B80EF99A-E15B-4D14-B227-BEE349B6294B}"/>
    <hyperlink ref="J24" r:id="rId15" display="gheidygallo@presidencia.gov.co" xr:uid="{D38B2F32-877D-416F-A0A1-5B7B1F51932D}"/>
    <hyperlink ref="J15" r:id="rId16" xr:uid="{B317CB53-32FD-4F8A-8548-65C373852C2B}"/>
    <hyperlink ref="J16" r:id="rId17" xr:uid="{463AC2CD-8133-4F16-AD86-9F5ACEF46C90}"/>
    <hyperlink ref="J17" r:id="rId18" xr:uid="{A0510AA6-7C2F-499C-A097-819B578561D8}"/>
    <hyperlink ref="J31" r:id="rId19" display="oriomana@mintrabajo.gov.co/&lt;larboleda@mintrabajo.gov.co&gt;" xr:uid="{2167296A-71D6-42F8-8D1A-D64C95D95290}"/>
    <hyperlink ref="J34" r:id="rId20" xr:uid="{F327B1B7-A914-420E-9AF5-B3AAD909A2B6}"/>
    <hyperlink ref="J35" r:id="rId21" xr:uid="{62820F1A-E1A0-4E1C-8299-F4A66A9764D6}"/>
    <hyperlink ref="J36" r:id="rId22" xr:uid="{24ACEA1A-C7DE-42BF-9455-18E2B7144861}"/>
    <hyperlink ref="J37" r:id="rId23" xr:uid="{4FDC3B5B-ABE4-494E-94FE-B00DBDAF374F}"/>
    <hyperlink ref="J38" r:id="rId24" xr:uid="{C38066F1-9514-4771-B1DB-CB5B8C2E4457}"/>
    <hyperlink ref="J154" r:id="rId25" display="mailto:Damaturana@mindeporte.gov.co" xr:uid="{6A5865E9-9294-4DAD-860A-3239815193AD}"/>
    <hyperlink ref="J39" r:id="rId26" xr:uid="{17170D74-955B-46B8-BE6D-33025D14E93A}"/>
    <hyperlink ref="J104" r:id="rId27" display="masalazar@registraduria.gov.co_x000a_" xr:uid="{E8A02813-8489-4BD7-A2E7-4E5F2A1468F9}"/>
    <hyperlink ref="J108" r:id="rId28" xr:uid="{42C11FCA-1963-4132-B4BC-FB301D1257F0}"/>
    <hyperlink ref="J87" r:id="rId29" xr:uid="{1FB2D111-9CFE-42BA-9D7D-1754A614F5F9}"/>
    <hyperlink ref="J189" r:id="rId30" display="mailto:brasilia.romero@prosperidadsocial.gov.co" xr:uid="{D0C8B73A-3080-45F5-9564-2FFC5510E961}"/>
    <hyperlink ref="J169" r:id="rId31" display="adrianalopez@reincorporacion.gov.co" xr:uid="{A8DCA4DD-48DC-479F-BD3A-400C8BE267BF}"/>
    <hyperlink ref="J181" r:id="rId32" xr:uid="{1E1391A0-65B0-471D-9184-1FDAF604A6FF}"/>
    <hyperlink ref="J193" r:id="rId33" xr:uid="{E6A03F22-7122-48BC-9E6D-B88C174806F8}"/>
    <hyperlink ref="J195" r:id="rId34" xr:uid="{31B2886C-802E-45FB-8593-97E805B34BEB}"/>
    <hyperlink ref="J197" r:id="rId35" display="jubernal@dnp.gov.co" xr:uid="{B67AB7C5-5336-4189-95AB-8FF2D1C356A0}"/>
    <hyperlink ref="J204" r:id="rId36" xr:uid="{A03FD1CA-C65D-4CD8-A95B-E475065EBAAA}"/>
    <hyperlink ref="J206" r:id="rId37" xr:uid="{33A34166-6FF5-4EAE-B55D-CED0E4A0DAFE}"/>
    <hyperlink ref="J218" r:id="rId38" xr:uid="{4BCED7C9-06B1-4BBC-914A-91CF7E3A73EA}"/>
    <hyperlink ref="J219" r:id="rId39" xr:uid="{ABAE5C3C-E9B0-4279-859A-4CC6B298E969}"/>
    <hyperlink ref="J216" r:id="rId40" xr:uid="{A9C30213-7AD2-410D-B516-C5E9190EA3BC}"/>
    <hyperlink ref="J47" r:id="rId41" xr:uid="{D205EEAD-F54B-4D1F-8C92-15996CB1A7D8}"/>
    <hyperlink ref="J49" r:id="rId42" xr:uid="{6A1470E6-F345-4824-8611-1B9DF902C55C}"/>
    <hyperlink ref="J56" r:id="rId43" xr:uid="{EF883298-BDB2-4AC3-B6F9-311E3B54C8DA}"/>
    <hyperlink ref="J64" r:id="rId44" xr:uid="{6CEC33B1-CD14-4F29-9072-773CF6449FFF}"/>
    <hyperlink ref="J61" r:id="rId45" xr:uid="{78659AF8-4CE3-4D1B-A4CC-8D78C624BBE0}"/>
    <hyperlink ref="J65" r:id="rId46" xr:uid="{58D6E94C-DB80-4AF3-A283-B60D503F4011}"/>
    <hyperlink ref="J66" r:id="rId47" xr:uid="{35FB5CCC-F5FA-43A5-8042-43F095501E44}"/>
    <hyperlink ref="J67" r:id="rId48" xr:uid="{F4638E2D-EF0E-42E8-BA88-87507C144F28}"/>
    <hyperlink ref="J82" r:id="rId49" display="jose.esinel@bancoagrario.gov.co_x000a_tatiana.gutierrrez" xr:uid="{6B73E5C9-2A52-4BB3-8C8C-A55C90068DF0}"/>
    <hyperlink ref="J89" r:id="rId50" xr:uid="{77442600-C94A-4285-A366-8608C2E3FD07}"/>
    <hyperlink ref="J90" r:id="rId51" display="jose.esinel@bancoagrario.gov.co_x000a_tatiana.gutierrrez" xr:uid="{9F09C86A-3BDB-4A04-A7FD-DF8C064AD9F5}"/>
    <hyperlink ref="J92" r:id="rId52" xr:uid="{960BA913-6BFF-402F-BDCB-5C9DB6F136B6}"/>
    <hyperlink ref="J93" r:id="rId53" xr:uid="{CB05D05E-CC83-4EC0-85FF-6B38C27FC684}"/>
    <hyperlink ref="J91" r:id="rId54" display="jose.esinel@bancoagrario.gov.co_x000a_tatiana.gutierrrez" xr:uid="{B02C2A24-049D-41C9-9554-F59B8AC5F227}"/>
    <hyperlink ref="J94" r:id="rId55" xr:uid="{166A248F-1E7C-4B38-8DD6-98B0C0973B76}"/>
    <hyperlink ref="J97" r:id="rId56" xr:uid="{567F6109-D21B-4DDE-B1D4-33F1C80C7A37}"/>
    <hyperlink ref="J96" r:id="rId57" xr:uid="{FE051E52-0823-475B-B251-AD3400E6C247}"/>
    <hyperlink ref="J98" r:id="rId58" xr:uid="{53F20674-AE18-4C00-9D40-29F26358B5C8}"/>
    <hyperlink ref="J99" r:id="rId59" xr:uid="{04EAF259-543A-4503-AED1-0074E6056C38}"/>
    <hyperlink ref="J100" r:id="rId60" xr:uid="{4F1D41B7-6EBB-4C80-8B0B-7C27E1E9FA0A}"/>
    <hyperlink ref="J101" r:id="rId61" xr:uid="{D1001432-4488-4466-9F47-4EDB19DA3D5B}"/>
    <hyperlink ref="J103" r:id="rId62" display="jacqueline.suarez@mininterior.gov.co" xr:uid="{F062DF6D-625F-4D64-8BAE-3B8ED2768C2C}"/>
    <hyperlink ref="J105" r:id="rId63" display="masalazar@registraduria.gov.co_x000a_" xr:uid="{C6453892-D97D-442C-BB56-96938A49FA10}"/>
    <hyperlink ref="J106" r:id="rId64" display="fcamargo@funcionpublica.gov.co" xr:uid="{142A0B48-367C-4F15-988D-4BAAFCF54536}"/>
    <hyperlink ref="J107" r:id="rId65" display="masalazar@registraduria.gov.co_x000a_" xr:uid="{7745AE57-0131-44E8-8EF1-D0263CD4E926}"/>
    <hyperlink ref="J110" r:id="rId66" display="jacqueline.suarez@mininterior.gov.co" xr:uid="{6AA342B0-C1E2-445D-994D-0F1CFED2C23A}"/>
    <hyperlink ref="J111" r:id="rId67" xr:uid="{C8D865C5-DDE6-4501-B99E-5655D35EED6F}"/>
    <hyperlink ref="J113" r:id="rId68" xr:uid="{8CAF77A5-C41F-41B7-A69C-103BC163795D}"/>
    <hyperlink ref="J114" r:id="rId69" xr:uid="{271A8E82-48FA-4438-9FF5-191E4C6E063D}"/>
    <hyperlink ref="J115" r:id="rId70" xr:uid="{4AA6CF49-8776-4F57-8D06-D933BD2E17C3}"/>
    <hyperlink ref="J116" r:id="rId71" xr:uid="{82998C07-6B94-40C5-B40B-EE2176EF2B1C}"/>
    <hyperlink ref="J117" r:id="rId72" xr:uid="{374F579F-A263-4E6E-9C8B-FC2E17CEB8C9}"/>
    <hyperlink ref="J118" r:id="rId73" xr:uid="{81735728-9335-4115-80AE-29DE52C497B4}"/>
    <hyperlink ref="J121" r:id="rId74" xr:uid="{32AC8245-8988-4595-8D22-6EB0903464B8}"/>
    <hyperlink ref="J122" r:id="rId75" xr:uid="{00E1596D-0570-4775-AE9D-E0762DEDBBCC}"/>
    <hyperlink ref="J123" r:id="rId76" display="Damaturana@mindeporte.gov.co" xr:uid="{1957D89E-0D70-4EE6-9DFB-0FA0B1FFD993}"/>
    <hyperlink ref="J126" r:id="rId77" xr:uid="{49607FDA-576D-4DE4-B9E1-8546A01B3605}"/>
    <hyperlink ref="J124" r:id="rId78" xr:uid="{816CD879-4055-470D-A54B-CB56F2ED1105}"/>
    <hyperlink ref="J125" r:id="rId79" xr:uid="{0C896BE2-55B4-45E2-BB30-98718BCA7A71}"/>
    <hyperlink ref="J127" r:id="rId80" display="Gbermont@minsalud.gov.co" xr:uid="{6732CB88-5519-4038-B5CD-2C3F4CF9F48B}"/>
    <hyperlink ref="J128" r:id="rId81" xr:uid="{A5576842-28C9-4CC7-BF34-D40AA3540701}"/>
    <hyperlink ref="J129" r:id="rId82" xr:uid="{4666A379-B7B7-49EA-B15D-917BCDEA2AC2}"/>
    <hyperlink ref="J130" r:id="rId83" xr:uid="{0B55744E-BA47-46CF-9315-3385312DD4FC}"/>
    <hyperlink ref="J131" r:id="rId84" display="gbermont@Minsalud.gov.co" xr:uid="{E759A405-9088-4D54-BE26-FE5A0B5D9A15}"/>
    <hyperlink ref="J132" r:id="rId85" xr:uid="{84454A28-71DF-4AE7-AD0B-9CADF9D0ED8D}"/>
    <hyperlink ref="J133" r:id="rId86" xr:uid="{4DE9353F-3DC6-4771-A8BF-D9856F43FA8B}"/>
    <hyperlink ref="J134" r:id="rId87" xr:uid="{1C24CE40-8A9C-4C90-AFBA-90BFDB7F98BA}"/>
    <hyperlink ref="J60" r:id="rId88" xr:uid="{279DC300-24D6-47EB-9A96-0F90344D83E1}"/>
    <hyperlink ref="J95" r:id="rId89" xr:uid="{03577F1A-8D21-4420-8CA7-2F7615C76FEB}"/>
    <hyperlink ref="J135" r:id="rId90" display="gheidygallo@presidencia.gov.co" xr:uid="{555FB9A2-35D5-440A-B32E-E8AC6A29F904}"/>
    <hyperlink ref="J136" r:id="rId91" xr:uid="{E78DC9F8-ECBD-4937-920C-9373C0A433A6}"/>
    <hyperlink ref="J138" r:id="rId92" display="mailto:apenuela@minsalud.gov.co" xr:uid="{AE2AF77D-3C04-41B2-B21A-749806D5139A}"/>
    <hyperlink ref="J112" r:id="rId93" xr:uid="{3D0A9927-0E2A-4EE7-8C59-3110693B89DE}"/>
    <hyperlink ref="J151" r:id="rId94" display="mailto:chiguerg@cendoj.ramajudicial.gov.co" xr:uid="{3EEE5C6D-88ED-4C61-929E-86E2575FDC43}"/>
    <hyperlink ref="J137" r:id="rId95" display="gheidygallo@presidencia.gov.co_x000a_mary.pinzon@correo.policia.gov.co_x000a_jimmy.duran@correo.policia.gov.co" xr:uid="{2767B0B6-AB86-44E9-8367-9CD282B583F1}"/>
    <hyperlink ref="J178" r:id="rId96" xr:uid="{4B765C7E-49B3-3349-A696-55360A6EC173}"/>
    <hyperlink ref="J182" r:id="rId97" xr:uid="{C7022BA6-51AB-E64C-9529-990919D81198}"/>
    <hyperlink ref="J164" r:id="rId98" xr:uid="{05022300-B1F8-7643-8C9D-51A86079F54E}"/>
    <hyperlink ref="J187" r:id="rId99" xr:uid="{68669436-A46A-5046-BD74-3F7D7876223F}"/>
    <hyperlink ref="J183" r:id="rId100" xr:uid="{3DE6456B-425C-6748-8D77-FA7733BB8C13}"/>
    <hyperlink ref="J184" r:id="rId101" xr:uid="{19B49209-7E44-F341-8D2A-4C9C03D005D1}"/>
    <hyperlink ref="J166" r:id="rId102" display="mailto:Fabio.Canchila@renovacionterritorio.gov.co" xr:uid="{C377A6F2-A36B-674B-8467-4DB9B2A517FB}"/>
    <hyperlink ref="J167" r:id="rId103" xr:uid="{3F0BADDF-D20E-7A44-AAE5-922DFE091230}"/>
    <hyperlink ref="J168" r:id="rId104" xr:uid="{DC1AAE0F-98BB-0F4D-ADAF-9BB081E75550}"/>
    <hyperlink ref="J152" r:id="rId105" xr:uid="{7F2ECEC8-9017-C849-A0EC-5770DAC01F59}"/>
    <hyperlink ref="J162" r:id="rId106" xr:uid="{7D1F44F4-32D2-D54B-9540-71B040CE658B}"/>
    <hyperlink ref="J88" r:id="rId107" xr:uid="{1CF1B95F-CAFD-4E01-BEAE-4FAA85696D63}"/>
    <hyperlink ref="J155" r:id="rId108" display="mailto:mfardila@mintic.gov.co" xr:uid="{8001B1E2-D4B8-4E41-ADBE-9C2C3176CADA}"/>
    <hyperlink ref="J156" r:id="rId109" display="jdroldan@mintransporte.gov.co" xr:uid="{BEF2B696-B0C8-460B-B98D-767934CAE663}"/>
    <hyperlink ref="J157" r:id="rId110" display="mailto:Karen.pineda@mindefensa.gov.co" xr:uid="{1DBDC8CB-4E21-420B-BAC5-D9A3C86D24D7}"/>
    <hyperlink ref="J163" r:id="rId111" display="mailto:Diego.llanos@minjusticia.gov.co" xr:uid="{91862F42-D950-4FE8-A072-7085E4F948F9}"/>
    <hyperlink ref="J25" r:id="rId112" xr:uid="{7215F9CD-3969-46CB-A363-67F088F65936}"/>
    <hyperlink ref="J217" r:id="rId113" xr:uid="{D9ACAE72-A3FF-42FE-8986-486C75CDE29A}"/>
    <hyperlink ref="J102" r:id="rId114" xr:uid="{4EC7FFDA-2B5E-4792-A219-AFFB2548D2F7}"/>
    <hyperlink ref="J190" r:id="rId115" xr:uid="{76343C75-C414-4610-ACF2-030F44C23E71}"/>
    <hyperlink ref="J140" r:id="rId116" display="mireya.martin@minjusticia.gov.co" xr:uid="{264D6E24-1C3F-41AB-9CC2-1D92EC14FA15}"/>
    <hyperlink ref="J191" r:id="rId117" xr:uid="{A3BD3036-6F11-4334-B42B-8EBD9337A835}"/>
    <hyperlink ref="J145" r:id="rId118" display="mailto:Damaturana@mindeporte.gov.co" xr:uid="{4C97CF67-991C-4A0C-A0DB-9893DD03E8C2}"/>
    <hyperlink ref="J149" r:id="rId119" display="mailto:mgutierrez@prosperidadsocial.gov.co" xr:uid="{0BBFA450-C058-4D16-BBB7-0548698ECF96}"/>
    <hyperlink ref="J13" r:id="rId120" xr:uid="{4F395B4C-8F11-4EA8-A480-7637FF010E59}"/>
    <hyperlink ref="J14" r:id="rId121" xr:uid="{7D88B70D-25EB-4BA8-93B2-FFE7D18A00B4}"/>
    <hyperlink ref="J19" r:id="rId122" xr:uid="{031D5015-F7A5-4667-A5E6-7E0914D3FF7A}"/>
    <hyperlink ref="J30" r:id="rId123" xr:uid="{80D99F7B-24CB-4CF8-A097-98D15DFD28A0}"/>
    <hyperlink ref="J42" r:id="rId124" display="mailto:maria.silva@ansv.gov.co" xr:uid="{41455EB0-7F48-4B40-A9E7-89DF7757ACD9}"/>
    <hyperlink ref="J32" r:id="rId125" xr:uid="{5587E507-DD4B-4C94-93A3-3C9881725312}"/>
    <hyperlink ref="J33" r:id="rId126" xr:uid="{CF9A9C79-5C2F-4E8B-BFFE-D2C3AF1B393B}"/>
    <hyperlink ref="J50" r:id="rId127" xr:uid="{7490FC21-2771-4C26-8196-936E07CB5DBB}"/>
    <hyperlink ref="J63" r:id="rId128" xr:uid="{5AB0FF17-7998-43F6-AF11-73FFBCA45427}"/>
    <hyperlink ref="J62" r:id="rId129" display="monica.peinado@prosperidadsocial.gov.co / lida.moreno@prosperidadsocial.gov.co" xr:uid="{D8AC4798-B516-4089-B9EC-F4C8424ABF26}"/>
    <hyperlink ref="J41" r:id="rId130" xr:uid="{06C8C578-C9BA-4194-9238-5E5D27E89E29}"/>
    <hyperlink ref="J68" r:id="rId131" xr:uid="{6B5CA094-F6F6-422C-B27A-94ECFD49EA68}"/>
    <hyperlink ref="J69" r:id="rId132" xr:uid="{5AAAE760-3FB6-4378-92D6-0E316A752206}"/>
    <hyperlink ref="J71" r:id="rId133" xr:uid="{4F65A96F-CCC7-4DAE-B37C-15731CD4B700}"/>
    <hyperlink ref="J72" r:id="rId134" xr:uid="{F6F06FF9-4183-4316-BB54-A1781738DAD5}"/>
    <hyperlink ref="J73" r:id="rId135" xr:uid="{B635761C-E5D7-48E8-B30E-766707028837}"/>
    <hyperlink ref="J74" r:id="rId136" xr:uid="{9450FABB-3F43-42C9-8665-ED9F1D67F68D}"/>
    <hyperlink ref="J76" r:id="rId137" xr:uid="{6A172A90-4314-4706-B87D-8E2C12CA849C}"/>
    <hyperlink ref="J78" r:id="rId138" xr:uid="{184F04FE-2F48-41E4-BFB3-4D7C92DCC04B}"/>
    <hyperlink ref="J79" r:id="rId139" xr:uid="{7E73CDE7-30D9-446A-BBD8-752A86F1DE0D}"/>
    <hyperlink ref="J80" r:id="rId140" xr:uid="{858D427E-9A3A-4FAC-890D-6002384CDDF7}"/>
    <hyperlink ref="J81" r:id="rId141" display="obermudezj@sena.edu.co" xr:uid="{A513E380-0B55-45E0-9518-5F8675C0BA7C}"/>
    <hyperlink ref="J83" r:id="rId142" display="luis.duarte@minagricultura.gov.co" xr:uid="{4B36D058-D579-4863-BF58-BD14C9C5B554}"/>
    <hyperlink ref="J84" r:id="rId143" xr:uid="{D6A43088-80D1-4DB2-A504-894053AB0441}"/>
    <hyperlink ref="J85" r:id="rId144" display="mailto:brasilia.romero@prosperidadsocial.gov.co" xr:uid="{6447CDF0-8E89-4B51-990F-C0195A0A4C6B}"/>
    <hyperlink ref="J173:J175" r:id="rId145" display="hernando.londono@renovacionterritorio.gov.co" xr:uid="{56BE5F88-09DB-4C39-A5AC-017CC7272FB1}"/>
    <hyperlink ref="J172" r:id="rId146" display="adrianalopez@reincorporacion.gov.co" xr:uid="{F6422C74-21A9-42F2-9963-ED7475AB61F4}"/>
    <hyperlink ref="J174" r:id="rId147" xr:uid="{ED6F672D-1E97-46A8-9268-9FAFDD5DF24A}"/>
    <hyperlink ref="J175" r:id="rId148" xr:uid="{17600D3D-5B43-46DF-B625-D3282CA98CE8}"/>
    <hyperlink ref="J173" r:id="rId149" xr:uid="{453B0229-83C4-4CFA-A928-83145BF4D525}"/>
    <hyperlink ref="J170" r:id="rId150" xr:uid="{E335D6D1-114E-43B8-8961-6402363BF819}"/>
    <hyperlink ref="J180" r:id="rId151" xr:uid="{ABF521D9-6B5F-4E11-99A0-10A8EF91F1C5}"/>
    <hyperlink ref="J198" r:id="rId152" xr:uid="{0FD2908D-A046-4C90-AE34-093D43DC8489}"/>
    <hyperlink ref="J199" r:id="rId153" xr:uid="{B2A6F504-7DEC-408C-8631-2DACD46403EB}"/>
    <hyperlink ref="J26" r:id="rId154" xr:uid="{A3A857D6-0346-4BC1-B19F-8B29C72EFA84}"/>
    <hyperlink ref="J194" r:id="rId155" xr:uid="{87B966F9-4AA6-4117-8A28-62F61D96595E}"/>
    <hyperlink ref="J201" r:id="rId156" xr:uid="{EA4799D7-F4B3-4CCB-A0D1-4186C31A4706}"/>
    <hyperlink ref="J220" r:id="rId157" xr:uid="{F8DEC20E-61A9-4EB0-94A7-35E6AC1E4F71}"/>
    <hyperlink ref="J200" r:id="rId158" xr:uid="{B4989685-9162-433B-942E-FDD97AE9CD5C}"/>
    <hyperlink ref="J207" r:id="rId159" xr:uid="{200DCA59-6A3A-4591-B31C-DBF10EE32B2A}"/>
    <hyperlink ref="J209" r:id="rId160" xr:uid="{7292D270-8F8C-4478-B733-B69D1B9DB640}"/>
    <hyperlink ref="J215" r:id="rId161" xr:uid="{6BE8020F-D0BD-45D6-8D2C-73D570A6622A}"/>
    <hyperlink ref="J212" r:id="rId162" xr:uid="{DC688C3C-A879-4B2C-AA3C-1C1C933FAA05}"/>
    <hyperlink ref="J213" r:id="rId163" xr:uid="{FB91784C-FC6C-47D5-A81D-F0C193E0AA59}"/>
    <hyperlink ref="J179" r:id="rId164" xr:uid="{871F265E-D24F-4471-9493-C3E2C72DD4F0}"/>
    <hyperlink ref="J171" r:id="rId165" xr:uid="{37BAA4D6-6FEC-4B7A-BFB0-46EA81A35571}"/>
    <hyperlink ref="J176" r:id="rId166" xr:uid="{9B85156F-1D8D-434D-9665-440826F5D030}"/>
    <hyperlink ref="J109" r:id="rId167" display="masalazar@registraduria.gov.co_x000a_" xr:uid="{AD03DE47-3F92-4C34-8655-6A3B75E7170B}"/>
    <hyperlink ref="J40" r:id="rId168" xr:uid="{17C81332-DD10-423C-9194-9118BCD7AA96}"/>
    <hyperlink ref="J210" r:id="rId169" display="gheidygallo@presidencia.gov.co" xr:uid="{DADB8815-8C0C-42E0-A139-6657D5A267A6}"/>
    <hyperlink ref="J146" r:id="rId170" display="mailto:disec.jefat@policia.gov.co" xr:uid="{6D5F21A7-AE72-44C7-93D4-EB8EE1546723}"/>
    <hyperlink ref="J160" r:id="rId171" xr:uid="{8E448DC5-9D77-48CB-9B42-22338AEEB7F3}"/>
    <hyperlink ref="J10" r:id="rId172" xr:uid="{EA004560-E251-445E-8ED1-AB7175449E29}"/>
    <hyperlink ref="J23" r:id="rId173" xr:uid="{5E34B63A-F599-4595-A78B-22ABE8D182B3}"/>
    <hyperlink ref="J159" r:id="rId174" xr:uid="{864E6663-912F-408E-94BF-412324429CE1}"/>
  </hyperlinks>
  <printOptions horizontalCentered="1" verticalCentered="1"/>
  <pageMargins left="0.31496062992125984" right="0.31496062992125984" top="0.35433070866141736" bottom="0.35433070866141736" header="0.31496062992125984" footer="0.31496062992125984"/>
  <pageSetup scale="21" fitToHeight="0" orientation="landscape" r:id="rId175"/>
  <headerFooter>
    <oddFooter xml:space="preserve">&amp;LF-CA-02 (VERSIÓN 11)&amp;C&amp;P&amp;RSubdirección General de Prospectiva y Desarrollo Nacional - Grupo CONPES </oddFooter>
  </headerFooter>
  <colBreaks count="2" manualBreakCount="2">
    <brk id="28" max="37" man="1"/>
    <brk id="75" max="1048575" man="1"/>
  </colBreaks>
  <ignoredErrors>
    <ignoredError sqref="CC222 BW222" unlockedFormula="1"/>
  </ignoredErrors>
  <drawing r:id="rId176"/>
  <extLst>
    <ext xmlns:x14="http://schemas.microsoft.com/office/spreadsheetml/2009/9/main" uri="{CCE6A557-97BC-4b89-ADB6-D9C93CAAB3DF}">
      <x14:dataValidations xmlns:xm="http://schemas.microsoft.com/office/excel/2006/main" xWindow="365" yWindow="542" count="1">
        <x14:dataValidation type="list" allowBlank="1" showInputMessage="1" showErrorMessage="1" prompt="Seleccione el nombre de la dirección técnica o grupo del DNP responsable de liderar el documento CONPES (instrucciones PAS. Paso 0. Datos básicos). " xr:uid="{29FE4BF4-473E-4820-BD8D-DA4F2D37A921}">
          <x14:formula1>
            <xm:f>Desplegables!$A$10:$A$31</xm:f>
          </x14:formula1>
          <xm:sqref>W4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696E-13C8-437A-8150-3E953014A53B}">
  <dimension ref="A1:AP17"/>
  <sheetViews>
    <sheetView showGridLines="0" zoomScale="55" zoomScaleNormal="55" zoomScaleSheetLayoutView="20" zoomScalePageLayoutView="35" workbookViewId="0"/>
  </sheetViews>
  <sheetFormatPr baseColWidth="10" defaultColWidth="10.42578125" defaultRowHeight="33.75" customHeight="1"/>
  <cols>
    <col min="1" max="1" width="1.42578125" style="19" customWidth="1"/>
    <col min="2" max="2" width="35" style="19" customWidth="1"/>
    <col min="3" max="3" width="51.42578125" style="122" customWidth="1"/>
    <col min="4" max="4" width="17.28515625" style="123" customWidth="1"/>
    <col min="5" max="5" width="31.7109375" style="19" customWidth="1"/>
    <col min="6" max="6" width="27.7109375" style="19" customWidth="1"/>
    <col min="7" max="7" width="22.7109375" style="19" customWidth="1"/>
    <col min="8" max="8" width="60.85546875" style="19" customWidth="1"/>
    <col min="9" max="9" width="18.42578125" style="19" customWidth="1"/>
    <col min="10" max="10" width="14.28515625" style="19" customWidth="1"/>
    <col min="11" max="11" width="14.42578125" style="19" customWidth="1"/>
    <col min="12" max="12" width="8.7109375" style="19" customWidth="1"/>
    <col min="13" max="13" width="8.7109375" style="123" customWidth="1"/>
    <col min="14" max="14" width="22.140625" style="123" customWidth="1"/>
    <col min="15" max="23" width="8.85546875" style="19" customWidth="1"/>
    <col min="24" max="25" width="30.42578125" style="19" customWidth="1"/>
    <col min="26" max="26" width="22.42578125" style="19" customWidth="1"/>
    <col min="27" max="27" width="18.7109375" style="19" customWidth="1"/>
    <col min="28" max="28" width="34.42578125" style="122" bestFit="1" customWidth="1"/>
    <col min="29" max="30" width="34.42578125" style="122" customWidth="1"/>
    <col min="31" max="31" width="27.42578125" style="122" bestFit="1" customWidth="1"/>
    <col min="32" max="32" width="24.140625" style="122" bestFit="1" customWidth="1"/>
    <col min="33" max="33" width="22.28515625" style="121" customWidth="1"/>
    <col min="34" max="16384" width="10.42578125" style="19"/>
  </cols>
  <sheetData>
    <row r="1" spans="1:42" s="16" customFormat="1" ht="9" customHeight="1" thickBot="1">
      <c r="A1" s="19"/>
      <c r="C1" s="122"/>
      <c r="D1" s="140"/>
      <c r="M1" s="140"/>
      <c r="N1" s="140"/>
      <c r="AB1" s="139"/>
      <c r="AC1" s="139"/>
      <c r="AD1" s="139"/>
      <c r="AE1" s="139"/>
      <c r="AF1" s="139"/>
      <c r="AG1" s="138"/>
    </row>
    <row r="2" spans="1:42" ht="24" thickBot="1">
      <c r="B2" s="143"/>
      <c r="C2" s="144"/>
      <c r="D2" s="145" t="s">
        <v>714</v>
      </c>
      <c r="E2" s="146"/>
      <c r="F2" s="146"/>
      <c r="G2" s="146"/>
      <c r="H2" s="146"/>
      <c r="I2" s="146"/>
      <c r="J2" s="146"/>
      <c r="K2" s="146"/>
      <c r="L2" s="146"/>
      <c r="M2" s="147"/>
      <c r="N2" s="147"/>
      <c r="O2" s="146"/>
      <c r="P2" s="146"/>
      <c r="Q2" s="146"/>
      <c r="R2" s="146"/>
      <c r="S2" s="146"/>
      <c r="T2" s="146"/>
      <c r="U2" s="146"/>
      <c r="V2" s="146"/>
      <c r="W2" s="146"/>
      <c r="X2" s="146"/>
      <c r="Y2" s="146"/>
      <c r="Z2" s="146"/>
      <c r="AA2" s="146"/>
      <c r="AB2" s="148"/>
      <c r="AC2" s="148"/>
      <c r="AD2" s="148"/>
      <c r="AE2" s="148"/>
      <c r="AF2" s="148"/>
      <c r="AG2" s="149"/>
      <c r="AH2" s="149"/>
      <c r="AI2" s="149"/>
      <c r="AJ2" s="149"/>
      <c r="AK2" s="149"/>
      <c r="AL2" s="149"/>
      <c r="AM2" s="149"/>
      <c r="AN2" s="149"/>
      <c r="AO2" s="149"/>
      <c r="AP2" s="149"/>
    </row>
    <row r="3" spans="1:42" ht="15.75">
      <c r="B3" s="551" t="s">
        <v>715</v>
      </c>
      <c r="C3" s="548"/>
      <c r="D3" s="548"/>
      <c r="E3" s="548"/>
      <c r="F3" s="548"/>
      <c r="G3" s="548"/>
      <c r="H3" s="548" t="s">
        <v>716</v>
      </c>
      <c r="I3" s="548"/>
      <c r="J3" s="548"/>
      <c r="K3" s="548"/>
      <c r="L3" s="548"/>
      <c r="M3" s="548"/>
      <c r="N3" s="548"/>
      <c r="O3" s="548"/>
      <c r="P3" s="548"/>
      <c r="Q3" s="548"/>
      <c r="R3" s="548"/>
      <c r="S3" s="548"/>
      <c r="T3" s="548"/>
      <c r="U3" s="548"/>
      <c r="V3" s="548"/>
      <c r="W3" s="548"/>
      <c r="X3" s="548"/>
      <c r="Y3" s="548"/>
      <c r="Z3" s="158"/>
      <c r="AA3" s="158"/>
      <c r="AB3" s="548" t="s">
        <v>717</v>
      </c>
      <c r="AC3" s="548"/>
      <c r="AD3" s="548"/>
      <c r="AE3" s="548"/>
      <c r="AF3" s="548"/>
      <c r="AG3" s="548"/>
      <c r="AH3" s="548"/>
      <c r="AI3" s="548"/>
      <c r="AJ3" s="548"/>
      <c r="AK3" s="548"/>
      <c r="AL3" s="548"/>
      <c r="AM3" s="548"/>
      <c r="AN3" s="548"/>
      <c r="AO3" s="548"/>
      <c r="AP3" s="548"/>
    </row>
    <row r="4" spans="1:42" s="137" customFormat="1" ht="33" customHeight="1">
      <c r="B4" s="549" t="s">
        <v>59</v>
      </c>
      <c r="C4" s="550" t="s">
        <v>718</v>
      </c>
      <c r="D4" s="552" t="s">
        <v>719</v>
      </c>
      <c r="E4" s="552"/>
      <c r="F4" s="552"/>
      <c r="G4" s="552"/>
      <c r="H4" s="550" t="s">
        <v>36</v>
      </c>
      <c r="I4" s="550" t="s">
        <v>720</v>
      </c>
      <c r="J4" s="550" t="s">
        <v>721</v>
      </c>
      <c r="K4" s="550"/>
      <c r="L4" s="547" t="s">
        <v>722</v>
      </c>
      <c r="M4" s="547"/>
      <c r="N4" s="547"/>
      <c r="O4" s="547" t="s">
        <v>723</v>
      </c>
      <c r="P4" s="547"/>
      <c r="Q4" s="547"/>
      <c r="R4" s="547"/>
      <c r="S4" s="547"/>
      <c r="T4" s="547"/>
      <c r="U4" s="547"/>
      <c r="V4" s="547"/>
      <c r="W4" s="547"/>
      <c r="X4" s="547" t="s">
        <v>724</v>
      </c>
      <c r="Y4" s="547" t="s">
        <v>725</v>
      </c>
      <c r="Z4" s="547" t="s">
        <v>726</v>
      </c>
      <c r="AA4" s="547" t="s">
        <v>727</v>
      </c>
      <c r="AB4" s="153" t="s">
        <v>728</v>
      </c>
      <c r="AC4" s="153"/>
      <c r="AD4" s="153"/>
      <c r="AE4" s="153" t="s">
        <v>729</v>
      </c>
      <c r="AF4" s="153"/>
      <c r="AG4" s="154"/>
      <c r="AH4" s="547" t="s">
        <v>730</v>
      </c>
      <c r="AI4" s="547"/>
      <c r="AJ4" s="547"/>
      <c r="AK4" s="547"/>
      <c r="AL4" s="547"/>
      <c r="AM4" s="547"/>
      <c r="AN4" s="547"/>
      <c r="AO4" s="547"/>
      <c r="AP4" s="547"/>
    </row>
    <row r="5" spans="1:42" s="137" customFormat="1" ht="57.75" customHeight="1">
      <c r="B5" s="549"/>
      <c r="C5" s="550"/>
      <c r="D5" s="151" t="s">
        <v>731</v>
      </c>
      <c r="E5" s="151" t="s">
        <v>732</v>
      </c>
      <c r="F5" s="150" t="s">
        <v>733</v>
      </c>
      <c r="G5" s="151" t="s">
        <v>734</v>
      </c>
      <c r="H5" s="550"/>
      <c r="I5" s="550"/>
      <c r="J5" s="150" t="s">
        <v>32</v>
      </c>
      <c r="K5" s="150" t="s">
        <v>33</v>
      </c>
      <c r="L5" s="152" t="s">
        <v>63</v>
      </c>
      <c r="M5" s="152" t="s">
        <v>735</v>
      </c>
      <c r="N5" s="152" t="s">
        <v>736</v>
      </c>
      <c r="O5" s="152">
        <v>2022</v>
      </c>
      <c r="P5" s="152">
        <v>2023</v>
      </c>
      <c r="Q5" s="152">
        <v>2024</v>
      </c>
      <c r="R5" s="152">
        <v>2025</v>
      </c>
      <c r="S5" s="152">
        <v>2026</v>
      </c>
      <c r="T5" s="152">
        <v>2027</v>
      </c>
      <c r="U5" s="152">
        <v>2028</v>
      </c>
      <c r="V5" s="152">
        <v>2029</v>
      </c>
      <c r="W5" s="152">
        <v>2030</v>
      </c>
      <c r="X5" s="547"/>
      <c r="Y5" s="547"/>
      <c r="Z5" s="547"/>
      <c r="AA5" s="547"/>
      <c r="AB5" s="152" t="s">
        <v>28</v>
      </c>
      <c r="AC5" s="150" t="s">
        <v>30</v>
      </c>
      <c r="AD5" s="150" t="s">
        <v>31</v>
      </c>
      <c r="AE5" s="150" t="s">
        <v>29</v>
      </c>
      <c r="AF5" s="150" t="s">
        <v>30</v>
      </c>
      <c r="AG5" s="150" t="s">
        <v>31</v>
      </c>
      <c r="AH5" s="152" t="s">
        <v>737</v>
      </c>
      <c r="AI5" s="152" t="s">
        <v>738</v>
      </c>
      <c r="AJ5" s="152" t="s">
        <v>739</v>
      </c>
      <c r="AK5" s="152" t="s">
        <v>740</v>
      </c>
      <c r="AL5" s="152" t="s">
        <v>741</v>
      </c>
      <c r="AM5" s="152" t="s">
        <v>742</v>
      </c>
      <c r="AN5" s="152" t="s">
        <v>743</v>
      </c>
      <c r="AO5" s="152" t="s">
        <v>744</v>
      </c>
      <c r="AP5" s="152" t="s">
        <v>745</v>
      </c>
    </row>
    <row r="6" spans="1:42" ht="15.75">
      <c r="B6" s="134"/>
      <c r="C6" s="125"/>
      <c r="D6" s="155"/>
      <c r="E6" s="125"/>
      <c r="F6" s="125"/>
      <c r="G6" s="125"/>
      <c r="H6" s="125"/>
      <c r="I6" s="136"/>
      <c r="J6" s="156"/>
      <c r="K6" s="129"/>
      <c r="L6" s="132"/>
      <c r="M6" s="131"/>
      <c r="N6" s="136"/>
      <c r="O6" s="157"/>
      <c r="P6" s="157"/>
      <c r="Q6" s="157"/>
      <c r="R6" s="157"/>
      <c r="S6" s="157"/>
      <c r="T6" s="157"/>
      <c r="U6" s="157"/>
      <c r="V6" s="157"/>
      <c r="W6" s="157"/>
      <c r="X6" s="135"/>
      <c r="Y6" s="135"/>
      <c r="Z6" s="135"/>
      <c r="AA6" s="135"/>
      <c r="AB6" s="135"/>
      <c r="AC6" s="135"/>
      <c r="AD6" s="135"/>
      <c r="AE6" s="135"/>
      <c r="AF6" s="135"/>
      <c r="AG6" s="135"/>
      <c r="AH6" s="141"/>
      <c r="AI6" s="141"/>
      <c r="AJ6" s="141"/>
      <c r="AK6" s="141"/>
      <c r="AL6" s="141"/>
      <c r="AM6" s="141"/>
      <c r="AN6" s="141"/>
      <c r="AO6" s="141"/>
      <c r="AP6" s="141"/>
    </row>
    <row r="7" spans="1:42" ht="15.75">
      <c r="B7" s="134"/>
      <c r="C7" s="125"/>
      <c r="D7" s="155"/>
      <c r="E7" s="125"/>
      <c r="F7" s="125"/>
      <c r="G7" s="125"/>
      <c r="H7" s="125"/>
      <c r="I7" s="136"/>
      <c r="J7" s="156"/>
      <c r="K7" s="129"/>
      <c r="L7" s="132"/>
      <c r="M7" s="131"/>
      <c r="N7" s="136"/>
      <c r="O7" s="157"/>
      <c r="P7" s="157"/>
      <c r="Q7" s="157"/>
      <c r="R7" s="157"/>
      <c r="S7" s="157"/>
      <c r="T7" s="157"/>
      <c r="U7" s="157"/>
      <c r="V7" s="157"/>
      <c r="W7" s="157"/>
      <c r="X7" s="135"/>
      <c r="Y7" s="135"/>
      <c r="Z7" s="135"/>
      <c r="AA7" s="135"/>
      <c r="AB7" s="135"/>
      <c r="AC7" s="135"/>
      <c r="AD7" s="135"/>
      <c r="AE7" s="135"/>
      <c r="AF7" s="135"/>
      <c r="AG7" s="135"/>
      <c r="AH7" s="141"/>
      <c r="AI7" s="141"/>
      <c r="AJ7" s="141"/>
      <c r="AK7" s="141"/>
      <c r="AL7" s="141"/>
      <c r="AM7" s="141"/>
      <c r="AN7" s="141"/>
      <c r="AO7" s="141"/>
      <c r="AP7" s="141"/>
    </row>
    <row r="8" spans="1:42" ht="15.75">
      <c r="B8" s="134"/>
      <c r="C8" s="133"/>
      <c r="D8" s="155"/>
      <c r="E8" s="125"/>
      <c r="F8" s="125"/>
      <c r="G8" s="125"/>
      <c r="H8" s="125"/>
      <c r="I8" s="136"/>
      <c r="J8" s="156"/>
      <c r="K8" s="129"/>
      <c r="L8" s="132"/>
      <c r="M8" s="131"/>
      <c r="N8" s="130"/>
      <c r="O8" s="157"/>
      <c r="P8" s="157"/>
      <c r="Q8" s="157"/>
      <c r="R8" s="157"/>
      <c r="S8" s="157"/>
      <c r="T8" s="157"/>
      <c r="U8" s="157"/>
      <c r="V8" s="157"/>
      <c r="W8" s="157"/>
      <c r="X8" s="135"/>
      <c r="Y8" s="135"/>
      <c r="Z8" s="135"/>
      <c r="AA8" s="135"/>
      <c r="AB8" s="135"/>
      <c r="AC8" s="135"/>
      <c r="AD8" s="135"/>
      <c r="AE8" s="135"/>
      <c r="AF8" s="135"/>
      <c r="AG8" s="135"/>
      <c r="AH8" s="141"/>
      <c r="AI8" s="141"/>
      <c r="AJ8" s="141"/>
      <c r="AK8" s="141"/>
      <c r="AL8" s="141"/>
      <c r="AM8" s="141"/>
      <c r="AN8" s="141"/>
      <c r="AO8" s="141"/>
      <c r="AP8" s="141"/>
    </row>
    <row r="9" spans="1:42" ht="15.75">
      <c r="B9" s="134"/>
      <c r="C9" s="133"/>
      <c r="D9" s="155"/>
      <c r="E9" s="125"/>
      <c r="F9" s="125"/>
      <c r="G9" s="125"/>
      <c r="H9" s="125"/>
      <c r="I9" s="136"/>
      <c r="J9" s="156"/>
      <c r="K9" s="129"/>
      <c r="L9" s="132"/>
      <c r="M9" s="131"/>
      <c r="N9" s="130"/>
      <c r="O9" s="157"/>
      <c r="P9" s="157"/>
      <c r="Q9" s="157"/>
      <c r="R9" s="157"/>
      <c r="S9" s="157"/>
      <c r="T9" s="157"/>
      <c r="U9" s="157"/>
      <c r="V9" s="157"/>
      <c r="W9" s="157"/>
      <c r="X9" s="135"/>
      <c r="Y9" s="135"/>
      <c r="Z9" s="135"/>
      <c r="AA9" s="135"/>
      <c r="AB9" s="135"/>
      <c r="AC9" s="135"/>
      <c r="AD9" s="135"/>
      <c r="AE9" s="135"/>
      <c r="AF9" s="135"/>
      <c r="AG9" s="135"/>
      <c r="AH9" s="141"/>
      <c r="AI9" s="141"/>
      <c r="AJ9" s="141"/>
      <c r="AK9" s="141"/>
      <c r="AL9" s="141"/>
      <c r="AM9" s="141"/>
      <c r="AN9" s="141"/>
      <c r="AO9" s="141"/>
      <c r="AP9" s="141"/>
    </row>
    <row r="10" spans="1:42" ht="15.75">
      <c r="B10" s="134"/>
      <c r="C10" s="133"/>
      <c r="D10" s="155"/>
      <c r="E10" s="125"/>
      <c r="F10" s="125"/>
      <c r="G10" s="125"/>
      <c r="H10" s="125"/>
      <c r="I10" s="136"/>
      <c r="J10" s="156"/>
      <c r="K10" s="129"/>
      <c r="L10" s="132"/>
      <c r="M10" s="131"/>
      <c r="N10" s="130"/>
      <c r="O10" s="157"/>
      <c r="P10" s="157"/>
      <c r="Q10" s="157"/>
      <c r="R10" s="157"/>
      <c r="S10" s="157"/>
      <c r="T10" s="157"/>
      <c r="U10" s="157"/>
      <c r="V10" s="157"/>
      <c r="W10" s="157"/>
      <c r="X10" s="135"/>
      <c r="Y10" s="135"/>
      <c r="Z10" s="135"/>
      <c r="AA10" s="135"/>
      <c r="AB10" s="135"/>
      <c r="AC10" s="135"/>
      <c r="AD10" s="135"/>
      <c r="AE10" s="135"/>
      <c r="AF10" s="135"/>
      <c r="AG10" s="135"/>
      <c r="AH10" s="141"/>
      <c r="AI10" s="141"/>
      <c r="AJ10" s="141"/>
      <c r="AK10" s="141"/>
      <c r="AL10" s="141"/>
      <c r="AM10" s="141"/>
      <c r="AN10" s="141"/>
      <c r="AO10" s="141"/>
      <c r="AP10" s="141"/>
    </row>
    <row r="11" spans="1:42" ht="15.75">
      <c r="B11" s="134"/>
      <c r="C11" s="133"/>
      <c r="D11" s="155"/>
      <c r="E11" s="125"/>
      <c r="F11" s="125"/>
      <c r="G11" s="125"/>
      <c r="H11" s="125"/>
      <c r="I11" s="136"/>
      <c r="J11" s="156"/>
      <c r="K11" s="129"/>
      <c r="L11" s="132"/>
      <c r="M11" s="131"/>
      <c r="N11" s="130"/>
      <c r="O11" s="157"/>
      <c r="P11" s="157"/>
      <c r="Q11" s="157"/>
      <c r="R11" s="157"/>
      <c r="S11" s="157"/>
      <c r="T11" s="157"/>
      <c r="U11" s="157"/>
      <c r="V11" s="157"/>
      <c r="W11" s="157"/>
      <c r="X11" s="135"/>
      <c r="Y11" s="135"/>
      <c r="Z11" s="135"/>
      <c r="AA11" s="135"/>
      <c r="AB11" s="135"/>
      <c r="AC11" s="135"/>
      <c r="AD11" s="135"/>
      <c r="AE11" s="135"/>
      <c r="AF11" s="135"/>
      <c r="AG11" s="135"/>
      <c r="AH11" s="141"/>
      <c r="AI11" s="141"/>
      <c r="AJ11" s="141"/>
      <c r="AK11" s="141"/>
      <c r="AL11" s="141"/>
      <c r="AM11" s="141"/>
      <c r="AN11" s="141"/>
      <c r="AO11" s="141"/>
      <c r="AP11" s="141"/>
    </row>
    <row r="12" spans="1:42" ht="15.75">
      <c r="B12" s="134"/>
      <c r="C12" s="133"/>
      <c r="D12" s="155"/>
      <c r="E12" s="125"/>
      <c r="F12" s="125"/>
      <c r="G12" s="125"/>
      <c r="H12" s="125"/>
      <c r="I12" s="136"/>
      <c r="J12" s="156"/>
      <c r="K12" s="129"/>
      <c r="L12" s="132"/>
      <c r="M12" s="131"/>
      <c r="N12" s="130"/>
      <c r="O12" s="157"/>
      <c r="P12" s="157"/>
      <c r="Q12" s="157"/>
      <c r="R12" s="157"/>
      <c r="S12" s="157"/>
      <c r="T12" s="157"/>
      <c r="U12" s="157"/>
      <c r="V12" s="157"/>
      <c r="W12" s="157"/>
      <c r="X12" s="135"/>
      <c r="Y12" s="135"/>
      <c r="Z12" s="135"/>
      <c r="AA12" s="135"/>
      <c r="AB12" s="135"/>
      <c r="AC12" s="135"/>
      <c r="AD12" s="135"/>
      <c r="AE12" s="135"/>
      <c r="AF12" s="135"/>
      <c r="AG12" s="135"/>
      <c r="AH12" s="141"/>
      <c r="AI12" s="141"/>
      <c r="AJ12" s="141"/>
      <c r="AK12" s="141"/>
      <c r="AL12" s="141"/>
      <c r="AM12" s="141"/>
      <c r="AN12" s="141"/>
      <c r="AO12" s="141"/>
      <c r="AP12" s="141"/>
    </row>
    <row r="13" spans="1:42" ht="15.75">
      <c r="B13" s="134"/>
      <c r="C13" s="133"/>
      <c r="D13" s="155"/>
      <c r="E13" s="125"/>
      <c r="F13" s="125"/>
      <c r="G13" s="125"/>
      <c r="H13" s="125"/>
      <c r="I13" s="136"/>
      <c r="J13" s="156"/>
      <c r="K13" s="129"/>
      <c r="L13" s="132"/>
      <c r="M13" s="131"/>
      <c r="N13" s="130"/>
      <c r="O13" s="157"/>
      <c r="P13" s="157"/>
      <c r="Q13" s="157"/>
      <c r="R13" s="157"/>
      <c r="S13" s="157"/>
      <c r="T13" s="157"/>
      <c r="U13" s="157"/>
      <c r="V13" s="157"/>
      <c r="W13" s="157"/>
      <c r="X13" s="135"/>
      <c r="Y13" s="135"/>
      <c r="Z13" s="135"/>
      <c r="AA13" s="135"/>
      <c r="AB13" s="135"/>
      <c r="AC13" s="135"/>
      <c r="AD13" s="135"/>
      <c r="AE13" s="135"/>
      <c r="AF13" s="135"/>
      <c r="AG13" s="135"/>
      <c r="AH13" s="141"/>
      <c r="AI13" s="141"/>
      <c r="AJ13" s="141"/>
      <c r="AK13" s="141"/>
      <c r="AL13" s="141"/>
      <c r="AM13" s="141"/>
      <c r="AN13" s="141"/>
      <c r="AO13" s="141"/>
      <c r="AP13" s="141"/>
    </row>
    <row r="14" spans="1:42" ht="15.75">
      <c r="B14" s="134"/>
      <c r="C14" s="133"/>
      <c r="D14" s="155"/>
      <c r="E14" s="125"/>
      <c r="F14" s="125"/>
      <c r="G14" s="125"/>
      <c r="H14" s="125"/>
      <c r="I14" s="136"/>
      <c r="J14" s="156"/>
      <c r="K14" s="129"/>
      <c r="L14" s="132"/>
      <c r="M14" s="131"/>
      <c r="N14" s="130"/>
      <c r="O14" s="157"/>
      <c r="P14" s="157"/>
      <c r="Q14" s="157"/>
      <c r="R14" s="157"/>
      <c r="S14" s="157"/>
      <c r="T14" s="157"/>
      <c r="U14" s="157"/>
      <c r="V14" s="157"/>
      <c r="W14" s="157"/>
      <c r="X14" s="135"/>
      <c r="Y14" s="135"/>
      <c r="Z14" s="135"/>
      <c r="AA14" s="135"/>
      <c r="AB14" s="135"/>
      <c r="AC14" s="135"/>
      <c r="AD14" s="135"/>
      <c r="AE14" s="135"/>
      <c r="AF14" s="135"/>
      <c r="AG14" s="135"/>
      <c r="AH14" s="141"/>
      <c r="AI14" s="141"/>
      <c r="AJ14" s="141"/>
      <c r="AK14" s="141"/>
      <c r="AL14" s="141"/>
      <c r="AM14" s="141"/>
      <c r="AN14" s="141"/>
      <c r="AO14" s="141"/>
      <c r="AP14" s="141"/>
    </row>
    <row r="15" spans="1:42" s="124" customFormat="1" ht="12.75">
      <c r="B15" s="126"/>
      <c r="C15" s="125"/>
      <c r="D15" s="155"/>
      <c r="E15" s="125"/>
      <c r="F15" s="125"/>
      <c r="G15" s="125"/>
      <c r="H15" s="125"/>
      <c r="I15" s="136"/>
      <c r="J15" s="156"/>
      <c r="K15" s="129"/>
      <c r="L15" s="128"/>
      <c r="M15" s="127"/>
      <c r="N15" s="127"/>
      <c r="O15" s="157"/>
      <c r="P15" s="157"/>
      <c r="Q15" s="157"/>
      <c r="R15" s="157"/>
      <c r="S15" s="157"/>
      <c r="T15" s="157"/>
      <c r="U15" s="157"/>
      <c r="V15" s="157"/>
      <c r="W15" s="157"/>
      <c r="X15" s="135"/>
      <c r="Y15" s="135"/>
      <c r="Z15" s="135"/>
      <c r="AA15" s="135"/>
      <c r="AB15" s="135"/>
      <c r="AC15" s="135"/>
      <c r="AD15" s="135"/>
      <c r="AE15" s="135"/>
      <c r="AF15" s="135"/>
      <c r="AG15" s="135"/>
      <c r="AH15" s="142"/>
      <c r="AI15" s="142"/>
      <c r="AJ15" s="142"/>
      <c r="AK15" s="142"/>
      <c r="AL15" s="142"/>
      <c r="AM15" s="142"/>
      <c r="AN15" s="142"/>
      <c r="AO15" s="142"/>
      <c r="AP15" s="142"/>
    </row>
    <row r="16" spans="1:42" ht="27" customHeight="1" thickBot="1">
      <c r="B16" s="159"/>
      <c r="C16" s="160"/>
      <c r="D16" s="161"/>
      <c r="E16" s="162"/>
      <c r="F16" s="162"/>
      <c r="G16" s="162"/>
      <c r="H16" s="162"/>
      <c r="I16" s="162"/>
      <c r="J16" s="162"/>
      <c r="K16" s="162"/>
      <c r="L16" s="162"/>
      <c r="M16" s="161"/>
      <c r="N16" s="161"/>
      <c r="O16" s="162"/>
      <c r="P16" s="162"/>
      <c r="Q16" s="162"/>
      <c r="R16" s="162"/>
      <c r="S16" s="162"/>
      <c r="T16" s="162"/>
      <c r="U16" s="162"/>
      <c r="V16" s="162"/>
      <c r="W16" s="162"/>
      <c r="X16" s="162"/>
      <c r="Y16" s="162"/>
      <c r="Z16" s="162"/>
      <c r="AA16" s="162"/>
      <c r="AB16" s="163"/>
      <c r="AC16" s="163"/>
      <c r="AD16" s="163"/>
      <c r="AE16" s="163"/>
      <c r="AF16" s="163"/>
      <c r="AG16" s="163"/>
      <c r="AH16" s="163"/>
      <c r="AI16" s="163"/>
      <c r="AJ16" s="163"/>
      <c r="AK16" s="163"/>
      <c r="AL16" s="163"/>
      <c r="AM16" s="163"/>
      <c r="AN16" s="163"/>
      <c r="AO16" s="163"/>
      <c r="AP16" s="163"/>
    </row>
    <row r="17" ht="15.75" customHeight="1"/>
  </sheetData>
  <sheetProtection formatCells="0" formatColumns="0" formatRows="0" insertColumns="0" insertRows="0" deleteColumns="0" deleteRows="0"/>
  <mergeCells count="16">
    <mergeCell ref="AH4:AP4"/>
    <mergeCell ref="AB3:AP3"/>
    <mergeCell ref="B4:B5"/>
    <mergeCell ref="C4:C5"/>
    <mergeCell ref="B3:G3"/>
    <mergeCell ref="O4:W4"/>
    <mergeCell ref="H4:H5"/>
    <mergeCell ref="I4:I5"/>
    <mergeCell ref="J4:K4"/>
    <mergeCell ref="L4:N4"/>
    <mergeCell ref="D4:G4"/>
    <mergeCell ref="H3:Y3"/>
    <mergeCell ref="X4:X5"/>
    <mergeCell ref="Y4:Y5"/>
    <mergeCell ref="Z4:Z5"/>
    <mergeCell ref="AA4:AA5"/>
  </mergeCells>
  <phoneticPr fontId="8" type="noConversion"/>
  <dataValidations disablePrompts="1" count="29">
    <dataValidation allowBlank="1" showInputMessage="1" showErrorMessage="1" prompt="Escriba las entidades y sistemas de información encargados de la producción o suministro de la información que se utiliza para la construcción del indicador._x000a_" sqref="Y4:Y5" xr:uid="{164445F0-E7CD-4FC0-88DF-DCB53FF1C677}"/>
    <dataValidation allowBlank="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O5:W5" xr:uid="{678B9277-4DCE-4BF3-8ABD-79B56C616225}"/>
    <dataValidation allowBlank="1" showErrorMessage="1" prompt="La sección de Plan de Acción debe diligenciarse en el momento de la elaboración del documento CONPES." sqref="B3" xr:uid="{701B9DEE-5222-482C-9097-2142F3A5FCC0}"/>
    <dataValidation allowBlank="1" showInputMessage="1" showErrorMessage="1" prompt="Escriba el parámetro de referencia para determinar las magnitudes de medición del indicador." sqref="I4:I5" xr:uid="{BD9F69D7-EC29-4C69-8930-0B1B757EAA34}"/>
    <dataValidation allowBlank="1" showErrorMessage="1" sqref="AF4 J4:K4" xr:uid="{D124C5A1-2428-41D2-A1CF-D6445F409BDF}"/>
    <dataValidation allowBlank="1" showInputMessage="1" showErrorMessage="1" prompt=" Elija la temática del indicador de resultado." sqref="D5" xr:uid="{44AA82EF-AF07-4895-AA06-AB6493E494D2}"/>
    <dataValidation allowBlank="1" showInputMessage="1" showErrorMessage="1" prompt="La sección de Plan de Acción debe diligenciarse en el momento de la elaboración del documento CONPES." sqref="H3 AB3" xr:uid="{3513C2CE-897D-42AC-AF89-CBF89EB0CD7F}"/>
    <dataValidation allowBlank="1" showInputMessage="1" showErrorMessage="1" prompt="Escriba el valor y el año de la línea base de los indicadores que tienen disponibles dicha información. Recuerde que la línea base debe estar expresada en la misma unidad de la meta." sqref="L4" xr:uid="{243DAE8B-80A5-486A-9F5A-702707897AB8}"/>
    <dataValidation allowBlank="1" showInputMessage="1" showErrorMessage="1" prompt="Escriba la fórmula de cálculo del indicador, teniendo en cuenta las indicaciones de la DSEPP consignadas en su Guía Metodológica. " sqref="H15:I15" xr:uid="{893FE4D7-F155-4E9F-BF55-B87FA8D75584}"/>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C8:C15" xr:uid="{16874DB6-E30D-4079-ABFE-33D1344A2501}"/>
    <dataValidation allowBlank="1" showErrorMessage="1" prompt="Escriba el nombre completo de la persona responsable de reportar la ejecución de la acción." sqref="AF5 AC5" xr:uid="{9D9F54F5-B569-4FC4-A674-5CC0DE7D7C9C}"/>
    <dataValidation allowBlank="1" showErrorMessage="1" prompt="En caso de cambios en los responsables de la ejecución, por favor actualizar la información con la del nuevo responsable." sqref="AC4:AD4" xr:uid="{8E32C288-A082-405B-A42F-E66548F996F5}"/>
    <dataValidation allowBlank="1" showErrorMessage="1" prompt="Escriba la entidad responsable de la ejecución de la acción. Utilice nombres completos y no siglas." sqref="AB5" xr:uid="{2E41F1D9-6D37-45A2-A9C4-71A916028B64}"/>
    <dataValidation allowBlank="1" showErrorMessage="1" prompt="Escriba el nombre de la Dirección, Subdirección, Grupo o Unidad encargada de la ejecución de la acción._x000a__x000a_Utilice nombres completos y no siglas." sqref="AE5" xr:uid="{426C1B4C-F027-4BD6-A712-E5E0C42EEC8B}"/>
    <dataValidation allowBlank="1" showErrorMessage="1" prompt="Escriba el correo electrónico de la persona responsable de reportar la ejecución de la acción." sqref="AG5 AD5" xr:uid="{BA08EDC8-F080-4DC5-AC10-EED5490AB95D}"/>
    <dataValidation allowBlank="1" showInputMessage="1" showErrorMessage="1" prompt="Escriba la fecha inicial en que se mediría el indicador._x000a__x000a_Formato DD/MM/AAAA." sqref="J5" xr:uid="{CE4535B3-610A-4D87-9DD6-90F94B885574}"/>
    <dataValidation allowBlank="1" showInputMessage="1" showErrorMessage="1" prompt="Escriba la fecha final en que se mediría el indicador._x000a__x000a_Formato DD/MM/AAAA." sqref="K5" xr:uid="{C9F0E88B-5227-4411-AA0E-F426DB0FD5BA}"/>
    <dataValidation allowBlank="1" showInputMessage="1" showErrorMessage="1" prompt="Escriba el nombre del indicador, el cual debe ser corto y dar cuenta de lo que está midiendo._x000a_" sqref="B4:B5" xr:uid="{17108A61-82B1-42AD-9E37-78019D88950B}"/>
    <dataValidation allowBlank="1" showInputMessage="1" showErrorMessage="1" prompt="Señale los principales aspectos por los cuales se definió el indicador. Debe responder a las preguntas: ¿qué va a medir? y ¿por qué es importante medirlo?" sqref="C4:C5" xr:uid="{263C3963-AF48-4F70-9D8F-BA554C3B0BF1}"/>
    <dataValidation allowBlank="1" showInputMessage="1" showErrorMessage="1" prompt="Indique con cuál o cuáles guarda relación." sqref="E5:F5" xr:uid="{A3AC6291-60D9-47AE-BD19-2A427979E4B6}"/>
    <dataValidation allowBlank="1" showInputMessage="1" showErrorMessage="1" prompt="Indique con cuáles acciones dentro del PAS depende este indicador." sqref="G5" xr:uid="{0873978D-54E3-4A9D-9506-C8F22F09E547}"/>
    <dataValidation allowBlank="1" showInputMessage="1" showErrorMessage="1" prompt="Escriba la expresión matemática con la cual se calcula el indicador." sqref="H4:H5" xr:uid="{84CF0D95-A3EA-4CC7-A241-CC2594FD9BD4}"/>
    <dataValidation allowBlank="1" showInputMessage="1" showErrorMessage="1" prompt="Cantidad programada o valor objetivo que espera alcanzar el indicador en un periodo específico (año). Indique la meta del indicador." sqref="O4:W4" xr:uid="{D705D868-D9FF-44B0-9A27-C7751435CA5C}"/>
    <dataValidation allowBlank="1" showInputMessage="1" showErrorMessage="1" prompt="Describa el proceso técnico para poder reportar el indicador; es decir, el proceso que se sigue para obtener los datos y realizar los cálculos necesarios." sqref="X4:X5" xr:uid="{934A4903-57C2-4813-A20D-49E2306CFA77}"/>
    <dataValidation allowBlank="1" showInputMessage="1" showErrorMessage="1" prompt="Escriba los días que tarda la información para estar disponible después de cumplido el periodo de medición." sqref="Z4:Z5" xr:uid="{57F1059D-A9BB-47C6-B8F9-B6A021A7EBCC}"/>
    <dataValidation allowBlank="1" showInputMessage="1" showErrorMessage="1" prompt="Indique la fecha desde la cuál es posible tener acceso a la serie de datos del indicador. " sqref="AA4:AA5" xr:uid="{1B8DFD24-DD25-4AAE-9A61-52706B705EC6}"/>
    <dataValidation allowBlank="1" showInputMessage="1" showErrorMessage="1" prompt="- Se debe escribir el nombre de la persona responsable de reportar la información de avance de este indicador en los términos presentados en la ficha técnica. _x000a_- Para el campo de entidad y dependencia escriba nombres completos y evite el uso de siglas. " sqref="AB4" xr:uid="{AD1AC9DC-81DA-4A70-9D7D-BB28C69203D4}"/>
    <dataValidation allowBlank="1" showInputMessage="1" showErrorMessage="1" prompt="- Se debe escribir el nombre de la persona responsable de revisar la información de avance de este indicador en los términos presentados en la ficha técnica. _x000a_- Para el campo de entidad y dependencia escriba nombres completos y evite el uso de siglas. _x000a_" sqref="AE4" xr:uid="{797FE1AB-728D-4080-A192-5F1388421E13}"/>
    <dataValidation allowBlank="1" showInputMessage="1" showErrorMessage="1" prompt="Esta información se diligencia durante la etapa de seguimiento, no en la de elaboración." sqref="AH4:AP4" xr:uid="{6CB71C85-2E95-4ACF-B9B5-3FAC80173805}"/>
  </dataValidations>
  <printOptions horizontalCentered="1" verticalCentered="1"/>
  <pageMargins left="0.31496062992125984" right="0.31496062992125984" top="0.35433070866141736" bottom="0.35433070866141736" header="0.31496062992125984" footer="0.31496062992125984"/>
  <pageSetup scale="47" orientation="landscape" r:id="rId1"/>
  <headerFooter>
    <oddFooter xml:space="preserve">&amp;LF-CA-02 (VERSIÓN 11)&amp;C&amp;P&amp;RSubdirección General de Prospectiva y Desarrollo Nacional - Grupo CONPES </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4711FED-0645-47E0-8141-80D5DAC91667}">
          <x14:formula1>
            <xm:f>Desplegables!$G$33:$G$50</xm:f>
          </x14:formula1>
          <xm:sqref>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385-F9D0-4BA9-81B0-8A8EC2A47243}">
  <sheetPr>
    <pageSetUpPr fitToPage="1"/>
  </sheetPr>
  <dimension ref="A1:K47"/>
  <sheetViews>
    <sheetView showGridLines="0" zoomScale="70" zoomScaleNormal="70" zoomScaleSheetLayoutView="32" workbookViewId="0">
      <selection activeCell="B2" sqref="B2:E2"/>
    </sheetView>
  </sheetViews>
  <sheetFormatPr baseColWidth="10" defaultColWidth="11.42578125" defaultRowHeight="12.75"/>
  <cols>
    <col min="1" max="1" width="42.85546875" style="180" customWidth="1"/>
    <col min="2" max="2" width="144.85546875" style="164" customWidth="1"/>
    <col min="3" max="3" width="5.140625" style="164" customWidth="1"/>
    <col min="4" max="4" width="6" style="164" customWidth="1"/>
    <col min="5" max="5" width="33" style="164" customWidth="1"/>
    <col min="6" max="16384" width="11.42578125" style="164"/>
  </cols>
  <sheetData>
    <row r="1" spans="1:5" ht="27.75" customHeight="1" thickBot="1">
      <c r="A1" s="567" t="s">
        <v>746</v>
      </c>
      <c r="B1" s="568"/>
      <c r="C1" s="568"/>
      <c r="D1" s="568"/>
      <c r="E1" s="569"/>
    </row>
    <row r="2" spans="1:5" ht="84" customHeight="1" thickBot="1">
      <c r="A2" s="165" t="s">
        <v>747</v>
      </c>
      <c r="B2" s="570" t="s">
        <v>748</v>
      </c>
      <c r="C2" s="571"/>
      <c r="D2" s="571"/>
      <c r="E2" s="572"/>
    </row>
    <row r="3" spans="1:5" ht="30.75" customHeight="1">
      <c r="A3" s="166" t="s">
        <v>749</v>
      </c>
      <c r="B3" s="166" t="s">
        <v>718</v>
      </c>
      <c r="C3" s="166" t="s">
        <v>750</v>
      </c>
      <c r="D3" s="166" t="s">
        <v>90</v>
      </c>
      <c r="E3" s="167" t="s">
        <v>751</v>
      </c>
    </row>
    <row r="4" spans="1:5">
      <c r="A4" s="561" t="s">
        <v>752</v>
      </c>
      <c r="B4" s="168" t="s">
        <v>753</v>
      </c>
      <c r="C4" s="436" t="s">
        <v>1309</v>
      </c>
      <c r="D4" s="169"/>
      <c r="E4" s="169"/>
    </row>
    <row r="5" spans="1:5">
      <c r="A5" s="562"/>
      <c r="B5" s="168" t="s">
        <v>754</v>
      </c>
      <c r="C5" s="436" t="s">
        <v>1309</v>
      </c>
      <c r="D5" s="169"/>
      <c r="E5" s="169"/>
    </row>
    <row r="6" spans="1:5">
      <c r="A6" s="562"/>
      <c r="B6" s="168" t="s">
        <v>755</v>
      </c>
      <c r="C6" s="436" t="s">
        <v>1309</v>
      </c>
      <c r="D6" s="169"/>
      <c r="E6" s="169"/>
    </row>
    <row r="7" spans="1:5">
      <c r="A7" s="562"/>
      <c r="B7" s="168" t="s">
        <v>756</v>
      </c>
      <c r="C7" s="436" t="s">
        <v>1309</v>
      </c>
      <c r="D7" s="169"/>
      <c r="E7" s="169"/>
    </row>
    <row r="8" spans="1:5">
      <c r="A8" s="563"/>
      <c r="B8" s="170" t="s">
        <v>757</v>
      </c>
      <c r="C8" s="436" t="s">
        <v>1309</v>
      </c>
      <c r="D8" s="169"/>
      <c r="E8" s="169"/>
    </row>
    <row r="9" spans="1:5">
      <c r="A9" s="560" t="s">
        <v>758</v>
      </c>
      <c r="B9" s="168" t="s">
        <v>759</v>
      </c>
      <c r="C9" s="436" t="s">
        <v>1309</v>
      </c>
      <c r="D9" s="169"/>
      <c r="E9" s="169"/>
    </row>
    <row r="10" spans="1:5">
      <c r="A10" s="560"/>
      <c r="B10" s="168" t="s">
        <v>760</v>
      </c>
      <c r="C10" s="436" t="s">
        <v>1309</v>
      </c>
      <c r="D10" s="169"/>
      <c r="E10" s="169"/>
    </row>
    <row r="11" spans="1:5">
      <c r="A11" s="560"/>
      <c r="B11" s="168" t="s">
        <v>761</v>
      </c>
      <c r="C11" s="436" t="s">
        <v>1309</v>
      </c>
      <c r="D11" s="169"/>
      <c r="E11" s="169"/>
    </row>
    <row r="12" spans="1:5">
      <c r="A12" s="573" t="s">
        <v>762</v>
      </c>
      <c r="B12" s="168" t="s">
        <v>763</v>
      </c>
      <c r="C12" s="436" t="s">
        <v>1309</v>
      </c>
      <c r="D12" s="169"/>
      <c r="E12" s="169"/>
    </row>
    <row r="13" spans="1:5" ht="25.5">
      <c r="A13" s="574"/>
      <c r="B13" s="168" t="s">
        <v>764</v>
      </c>
      <c r="C13" s="436" t="s">
        <v>1309</v>
      </c>
      <c r="D13" s="169"/>
      <c r="E13" s="169"/>
    </row>
    <row r="14" spans="1:5">
      <c r="A14" s="575"/>
      <c r="B14" s="168" t="s">
        <v>765</v>
      </c>
      <c r="C14" s="436" t="s">
        <v>1309</v>
      </c>
      <c r="D14" s="169"/>
      <c r="E14" s="169"/>
    </row>
    <row r="15" spans="1:5">
      <c r="A15" s="560" t="s">
        <v>766</v>
      </c>
      <c r="B15" s="168" t="s">
        <v>767</v>
      </c>
      <c r="C15" s="436" t="s">
        <v>1309</v>
      </c>
      <c r="D15" s="169"/>
      <c r="E15" s="169"/>
    </row>
    <row r="16" spans="1:5">
      <c r="A16" s="560"/>
      <c r="B16" s="171" t="s">
        <v>768</v>
      </c>
      <c r="C16" s="436" t="s">
        <v>1309</v>
      </c>
      <c r="D16" s="169"/>
      <c r="E16" s="169"/>
    </row>
    <row r="17" spans="1:11">
      <c r="A17" s="560" t="s">
        <v>769</v>
      </c>
      <c r="B17" s="171" t="s">
        <v>770</v>
      </c>
      <c r="C17" s="436" t="s">
        <v>1309</v>
      </c>
      <c r="D17" s="169"/>
      <c r="E17" s="169"/>
    </row>
    <row r="18" spans="1:11">
      <c r="A18" s="560"/>
      <c r="B18" s="171" t="s">
        <v>771</v>
      </c>
      <c r="C18" s="436" t="s">
        <v>1309</v>
      </c>
      <c r="D18" s="169"/>
      <c r="E18" s="169"/>
    </row>
    <row r="19" spans="1:11">
      <c r="A19" s="560"/>
      <c r="B19" s="171" t="s">
        <v>772</v>
      </c>
      <c r="C19" s="436" t="s">
        <v>1309</v>
      </c>
      <c r="D19" s="169"/>
      <c r="E19" s="169"/>
    </row>
    <row r="20" spans="1:11">
      <c r="A20" s="560"/>
      <c r="B20" s="171" t="s">
        <v>773</v>
      </c>
      <c r="C20" s="436" t="s">
        <v>1309</v>
      </c>
      <c r="D20" s="169"/>
      <c r="E20" s="169"/>
    </row>
    <row r="21" spans="1:11">
      <c r="A21" s="560"/>
      <c r="B21" s="171" t="s">
        <v>774</v>
      </c>
      <c r="C21" s="436" t="s">
        <v>1309</v>
      </c>
      <c r="D21" s="169"/>
      <c r="E21" s="169"/>
    </row>
    <row r="22" spans="1:11">
      <c r="A22" s="561" t="s">
        <v>775</v>
      </c>
      <c r="B22" s="171" t="s">
        <v>776</v>
      </c>
      <c r="C22" s="436" t="s">
        <v>1309</v>
      </c>
      <c r="D22" s="169"/>
      <c r="E22" s="169"/>
    </row>
    <row r="23" spans="1:11">
      <c r="A23" s="562"/>
      <c r="B23" s="171" t="s">
        <v>777</v>
      </c>
      <c r="C23" s="436" t="s">
        <v>1309</v>
      </c>
      <c r="D23" s="169"/>
      <c r="E23" s="169"/>
    </row>
    <row r="24" spans="1:11">
      <c r="A24" s="563"/>
      <c r="B24" s="171" t="s">
        <v>778</v>
      </c>
      <c r="C24" s="436" t="s">
        <v>1309</v>
      </c>
      <c r="D24" s="169"/>
      <c r="E24" s="169"/>
    </row>
    <row r="25" spans="1:11">
      <c r="A25" s="560" t="s">
        <v>779</v>
      </c>
      <c r="B25" s="171" t="s">
        <v>780</v>
      </c>
      <c r="C25" s="436" t="s">
        <v>1309</v>
      </c>
      <c r="D25" s="169"/>
      <c r="E25" s="169"/>
    </row>
    <row r="26" spans="1:11">
      <c r="A26" s="560"/>
      <c r="B26" s="172" t="s">
        <v>781</v>
      </c>
      <c r="C26" s="436" t="s">
        <v>1309</v>
      </c>
      <c r="D26" s="169"/>
      <c r="E26" s="169"/>
    </row>
    <row r="27" spans="1:11" ht="13.5" thickBot="1">
      <c r="A27" s="564"/>
      <c r="B27" s="173" t="s">
        <v>782</v>
      </c>
      <c r="C27" s="436" t="s">
        <v>1309</v>
      </c>
      <c r="D27" s="174"/>
      <c r="E27" s="174"/>
    </row>
    <row r="29" spans="1:11" ht="18">
      <c r="A29" s="565"/>
      <c r="B29" s="557"/>
      <c r="C29" s="557"/>
      <c r="D29" s="554"/>
      <c r="E29" s="554"/>
      <c r="F29" s="554"/>
      <c r="G29" s="554"/>
      <c r="H29" s="554"/>
      <c r="I29" s="554"/>
      <c r="J29" s="554"/>
      <c r="K29" s="554"/>
    </row>
    <row r="30" spans="1:11" ht="18">
      <c r="A30" s="565"/>
      <c r="B30" s="557"/>
      <c r="C30" s="557"/>
      <c r="D30" s="556"/>
      <c r="E30" s="556"/>
      <c r="F30" s="556"/>
      <c r="G30" s="556"/>
      <c r="H30" s="556"/>
      <c r="I30" s="556"/>
      <c r="J30" s="556"/>
      <c r="K30" s="556"/>
    </row>
    <row r="31" spans="1:11" ht="18">
      <c r="A31" s="565"/>
      <c r="B31" s="98"/>
      <c r="C31" s="98"/>
      <c r="D31" s="556"/>
      <c r="E31" s="556"/>
      <c r="F31" s="556"/>
      <c r="G31" s="556"/>
      <c r="H31" s="556"/>
      <c r="I31" s="556"/>
      <c r="J31" s="556"/>
      <c r="K31" s="556"/>
    </row>
    <row r="32" spans="1:11" ht="18">
      <c r="A32" s="565"/>
      <c r="B32" s="566"/>
      <c r="C32" s="566"/>
      <c r="D32" s="556"/>
      <c r="E32" s="556"/>
      <c r="F32" s="556"/>
      <c r="G32" s="556"/>
      <c r="H32" s="556"/>
      <c r="I32" s="556"/>
      <c r="J32" s="556"/>
      <c r="K32" s="556"/>
    </row>
    <row r="33" spans="1:11" ht="18">
      <c r="A33" s="565"/>
      <c r="B33" s="557"/>
      <c r="C33" s="557"/>
      <c r="D33" s="558"/>
      <c r="E33" s="558"/>
      <c r="F33" s="558"/>
      <c r="G33" s="558"/>
      <c r="H33" s="558"/>
      <c r="I33" s="558"/>
      <c r="J33" s="558"/>
      <c r="K33" s="558"/>
    </row>
    <row r="34" spans="1:11" ht="18">
      <c r="A34" s="565"/>
      <c r="B34" s="557"/>
      <c r="C34" s="557"/>
      <c r="D34" s="556"/>
      <c r="E34" s="556"/>
      <c r="F34" s="556"/>
      <c r="G34" s="556"/>
      <c r="H34" s="556"/>
      <c r="I34" s="556"/>
      <c r="J34" s="556"/>
      <c r="K34" s="556"/>
    </row>
    <row r="35" spans="1:11" ht="18">
      <c r="A35" s="553"/>
      <c r="B35" s="555"/>
      <c r="C35" s="555"/>
      <c r="D35" s="555"/>
      <c r="E35" s="555"/>
      <c r="F35" s="555"/>
      <c r="G35" s="555"/>
      <c r="H35" s="555"/>
      <c r="I35" s="555"/>
      <c r="J35" s="555"/>
      <c r="K35" s="555"/>
    </row>
    <row r="36" spans="1:11" ht="18">
      <c r="A36" s="553"/>
      <c r="B36" s="102"/>
      <c r="C36" s="102"/>
      <c r="D36" s="102"/>
      <c r="E36" s="102"/>
      <c r="F36" s="102"/>
      <c r="G36" s="102"/>
      <c r="H36" s="102"/>
      <c r="I36" s="102"/>
      <c r="J36" s="102"/>
      <c r="K36" s="102"/>
    </row>
    <row r="37" spans="1:11" ht="18">
      <c r="A37" s="553"/>
      <c r="B37" s="56"/>
      <c r="C37" s="77"/>
      <c r="D37" s="102"/>
      <c r="E37" s="57"/>
      <c r="F37" s="76"/>
      <c r="G37" s="102"/>
      <c r="H37" s="57"/>
      <c r="I37" s="102"/>
      <c r="J37" s="102"/>
      <c r="K37" s="102"/>
    </row>
    <row r="38" spans="1:11" ht="18">
      <c r="A38" s="553"/>
      <c r="B38" s="559"/>
      <c r="C38" s="559"/>
      <c r="D38" s="559"/>
      <c r="E38" s="559"/>
      <c r="F38" s="559"/>
      <c r="G38" s="559"/>
      <c r="H38" s="559"/>
      <c r="I38" s="559"/>
      <c r="J38" s="559"/>
      <c r="K38" s="559"/>
    </row>
    <row r="39" spans="1:11" ht="18">
      <c r="A39" s="553"/>
      <c r="B39" s="554"/>
      <c r="C39" s="554"/>
      <c r="D39" s="554"/>
      <c r="E39" s="554"/>
      <c r="F39" s="554"/>
      <c r="G39" s="554"/>
      <c r="H39" s="554"/>
      <c r="I39" s="554"/>
      <c r="J39" s="554"/>
      <c r="K39" s="554"/>
    </row>
    <row r="40" spans="1:11" ht="18">
      <c r="A40" s="553"/>
      <c r="B40" s="98"/>
      <c r="C40" s="98"/>
      <c r="D40" s="98"/>
      <c r="E40" s="98"/>
      <c r="F40" s="98"/>
      <c r="G40" s="98"/>
      <c r="H40" s="98"/>
      <c r="I40" s="98"/>
      <c r="J40" s="98"/>
      <c r="K40" s="98"/>
    </row>
    <row r="41" spans="1:11" ht="18.75">
      <c r="A41" s="553"/>
      <c r="B41" s="59"/>
      <c r="C41" s="61"/>
      <c r="D41" s="61"/>
      <c r="E41" s="61"/>
      <c r="F41" s="61"/>
      <c r="G41" s="175"/>
      <c r="H41" s="175"/>
      <c r="I41" s="175"/>
      <c r="J41" s="61"/>
      <c r="K41" s="104"/>
    </row>
    <row r="42" spans="1:11" ht="18.75">
      <c r="A42" s="553"/>
      <c r="B42" s="59"/>
      <c r="C42" s="104"/>
      <c r="D42" s="104"/>
      <c r="E42" s="59"/>
      <c r="F42" s="104"/>
      <c r="G42" s="176"/>
      <c r="H42" s="176"/>
      <c r="I42" s="177"/>
      <c r="J42" s="104"/>
      <c r="K42" s="104"/>
    </row>
    <row r="43" spans="1:11" ht="18.75">
      <c r="A43" s="553"/>
      <c r="B43" s="59"/>
      <c r="C43" s="99"/>
      <c r="D43" s="104"/>
      <c r="E43" s="104"/>
      <c r="F43" s="59"/>
      <c r="G43" s="104"/>
      <c r="H43" s="178"/>
      <c r="I43" s="178"/>
      <c r="J43" s="104"/>
      <c r="K43" s="104"/>
    </row>
    <row r="44" spans="1:11" ht="18">
      <c r="A44" s="179"/>
      <c r="B44" s="555"/>
      <c r="C44" s="555"/>
      <c r="D44" s="555"/>
      <c r="E44" s="555"/>
      <c r="F44" s="555"/>
      <c r="G44" s="555"/>
      <c r="H44" s="555"/>
      <c r="I44" s="555"/>
      <c r="J44" s="555"/>
      <c r="K44" s="555"/>
    </row>
    <row r="45" spans="1:11" ht="18">
      <c r="A45" s="179"/>
      <c r="B45" s="555"/>
      <c r="C45" s="555"/>
      <c r="D45" s="555"/>
      <c r="E45" s="555"/>
      <c r="F45" s="555"/>
      <c r="G45" s="555"/>
      <c r="H45" s="555"/>
      <c r="I45" s="555"/>
      <c r="J45" s="555"/>
      <c r="K45" s="555"/>
    </row>
    <row r="46" spans="1:11" ht="18">
      <c r="A46" s="179"/>
      <c r="B46" s="555"/>
      <c r="C46" s="555"/>
      <c r="D46" s="555"/>
      <c r="E46" s="555"/>
      <c r="F46" s="555"/>
      <c r="G46" s="555"/>
      <c r="H46" s="555"/>
      <c r="I46" s="555"/>
      <c r="J46" s="555"/>
      <c r="K46" s="555"/>
    </row>
    <row r="47" spans="1:11" ht="18">
      <c r="A47" s="179"/>
      <c r="B47" s="555"/>
      <c r="C47" s="555"/>
      <c r="D47" s="555"/>
      <c r="E47" s="555"/>
      <c r="F47" s="555"/>
      <c r="G47" s="555"/>
      <c r="H47" s="555"/>
      <c r="I47" s="555"/>
      <c r="J47" s="555"/>
      <c r="K47" s="555"/>
    </row>
  </sheetData>
  <mergeCells count="30">
    <mergeCell ref="A15:A16"/>
    <mergeCell ref="A1:E1"/>
    <mergeCell ref="B2:E2"/>
    <mergeCell ref="A4:A8"/>
    <mergeCell ref="A9:A11"/>
    <mergeCell ref="A12:A14"/>
    <mergeCell ref="A35:A38"/>
    <mergeCell ref="B35:K35"/>
    <mergeCell ref="B38:K38"/>
    <mergeCell ref="A17:A21"/>
    <mergeCell ref="A22:A24"/>
    <mergeCell ref="A25:A27"/>
    <mergeCell ref="A29:A34"/>
    <mergeCell ref="B29:C29"/>
    <mergeCell ref="D29:K29"/>
    <mergeCell ref="B30:C30"/>
    <mergeCell ref="D30:K30"/>
    <mergeCell ref="D31:K31"/>
    <mergeCell ref="B32:C32"/>
    <mergeCell ref="B47:K47"/>
    <mergeCell ref="D32:K32"/>
    <mergeCell ref="B33:C33"/>
    <mergeCell ref="D33:K33"/>
    <mergeCell ref="B34:C34"/>
    <mergeCell ref="D34:K34"/>
    <mergeCell ref="A39:A43"/>
    <mergeCell ref="B39:K39"/>
    <mergeCell ref="B44:K44"/>
    <mergeCell ref="B45:K45"/>
    <mergeCell ref="B46:K46"/>
  </mergeCells>
  <printOptions horizontalCentered="1" verticalCentered="1"/>
  <pageMargins left="0.23622047244094491" right="0.23622047244094491" top="0.74803149606299213" bottom="0.74803149606299213" header="0.31496062992125984" footer="0.31496062992125984"/>
  <pageSetup scale="55" fitToHeight="0" orientation="portrait" r:id="rId1"/>
  <headerFooter>
    <oddFooter xml:space="preserve">&amp;LF-CA-02 (VERSIÓN 11)&amp;C&amp;P&amp;RSubdirección General de Prospectiva y Desarrollo Nacional - Grupo CONPES </oddFooter>
  </headerFooter>
  <colBreaks count="1" manualBreakCount="1">
    <brk id="2"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2"/>
  <sheetViews>
    <sheetView showGridLines="0" zoomScale="70" zoomScaleNormal="70" zoomScaleSheetLayoutView="32" workbookViewId="0">
      <selection sqref="A1:B1"/>
    </sheetView>
  </sheetViews>
  <sheetFormatPr baseColWidth="10" defaultColWidth="11.42578125" defaultRowHeight="12.75"/>
  <cols>
    <col min="1" max="1" width="29.7109375" customWidth="1"/>
    <col min="2" max="2" width="150.28515625" customWidth="1"/>
  </cols>
  <sheetData>
    <row r="1" spans="1:2" ht="27.75" customHeight="1">
      <c r="A1" s="580" t="s">
        <v>783</v>
      </c>
      <c r="B1" s="580"/>
    </row>
    <row r="2" spans="1:2" ht="30.75" customHeight="1">
      <c r="A2" s="82" t="s">
        <v>784</v>
      </c>
      <c r="B2" s="83" t="s">
        <v>718</v>
      </c>
    </row>
    <row r="3" spans="1:2" ht="153">
      <c r="A3" s="100" t="s">
        <v>785</v>
      </c>
      <c r="B3" s="84" t="s">
        <v>786</v>
      </c>
    </row>
    <row r="4" spans="1:2" ht="140.25">
      <c r="A4" s="578" t="s">
        <v>787</v>
      </c>
      <c r="B4" s="84" t="s">
        <v>788</v>
      </c>
    </row>
    <row r="5" spans="1:2" ht="114.75">
      <c r="A5" s="578"/>
      <c r="B5" s="84" t="s">
        <v>789</v>
      </c>
    </row>
    <row r="6" spans="1:2" ht="48" customHeight="1">
      <c r="A6" s="578"/>
      <c r="B6" s="84" t="s">
        <v>790</v>
      </c>
    </row>
    <row r="7" spans="1:2" ht="82.5" customHeight="1">
      <c r="A7" s="578"/>
      <c r="B7" s="84" t="s">
        <v>791</v>
      </c>
    </row>
    <row r="8" spans="1:2" ht="33.75" customHeight="1">
      <c r="A8" s="578"/>
      <c r="B8" s="119" t="s">
        <v>792</v>
      </c>
    </row>
    <row r="9" spans="1:2" ht="229.5">
      <c r="A9" s="579"/>
      <c r="B9" s="119" t="s">
        <v>793</v>
      </c>
    </row>
    <row r="10" spans="1:2" ht="204">
      <c r="A10" s="579"/>
      <c r="B10" s="120" t="s">
        <v>794</v>
      </c>
    </row>
    <row r="11" spans="1:2" ht="47.25" customHeight="1">
      <c r="A11" s="578"/>
      <c r="B11" s="120" t="s">
        <v>795</v>
      </c>
    </row>
    <row r="12" spans="1:2" ht="45" customHeight="1">
      <c r="A12" s="578"/>
      <c r="B12" s="84" t="s">
        <v>796</v>
      </c>
    </row>
    <row r="13" spans="1:2" ht="41.25" customHeight="1">
      <c r="A13" s="578"/>
      <c r="B13" s="84" t="s">
        <v>797</v>
      </c>
    </row>
    <row r="14" spans="1:2" ht="270.75" customHeight="1">
      <c r="A14" s="578" t="s">
        <v>798</v>
      </c>
      <c r="B14" s="85" t="s">
        <v>799</v>
      </c>
    </row>
    <row r="15" spans="1:2" ht="242.25">
      <c r="A15" s="578"/>
      <c r="B15" s="85" t="s">
        <v>800</v>
      </c>
    </row>
    <row r="16" spans="1:2" ht="355.5" customHeight="1">
      <c r="A16" s="578"/>
      <c r="B16" s="85" t="s">
        <v>801</v>
      </c>
    </row>
    <row r="17" spans="1:2" ht="180" customHeight="1">
      <c r="A17" s="100" t="s">
        <v>802</v>
      </c>
      <c r="B17" s="116" t="s">
        <v>803</v>
      </c>
    </row>
    <row r="19" spans="1:2" ht="16.5" thickBot="1">
      <c r="A19" s="580" t="s">
        <v>804</v>
      </c>
      <c r="B19" s="580"/>
    </row>
    <row r="20" spans="1:2" ht="17.25" thickTop="1" thickBot="1">
      <c r="A20" s="2" t="s">
        <v>784</v>
      </c>
      <c r="B20" s="3" t="s">
        <v>718</v>
      </c>
    </row>
    <row r="21" spans="1:2" ht="45.95" customHeight="1" thickTop="1">
      <c r="A21" s="587" t="s">
        <v>805</v>
      </c>
      <c r="B21" s="79" t="s">
        <v>806</v>
      </c>
    </row>
    <row r="22" spans="1:2" ht="59.25" customHeight="1">
      <c r="A22" s="588"/>
      <c r="B22" s="80" t="s">
        <v>807</v>
      </c>
    </row>
    <row r="23" spans="1:2" ht="63.75">
      <c r="A23" s="589"/>
      <c r="B23" s="80" t="s">
        <v>808</v>
      </c>
    </row>
    <row r="24" spans="1:2" ht="26.25" customHeight="1">
      <c r="A24" s="589" t="s">
        <v>809</v>
      </c>
      <c r="B24" s="80" t="s">
        <v>810</v>
      </c>
    </row>
    <row r="25" spans="1:2" ht="20.25" customHeight="1">
      <c r="A25" s="589"/>
      <c r="B25" s="80" t="s">
        <v>811</v>
      </c>
    </row>
    <row r="26" spans="1:2" ht="25.5" customHeight="1">
      <c r="A26" s="589"/>
      <c r="B26" s="80" t="s">
        <v>812</v>
      </c>
    </row>
    <row r="27" spans="1:2" ht="59.25" customHeight="1">
      <c r="A27" s="589"/>
      <c r="B27" s="80" t="s">
        <v>813</v>
      </c>
    </row>
    <row r="28" spans="1:2" ht="68.25" customHeight="1">
      <c r="A28" s="589"/>
      <c r="B28" s="80" t="s">
        <v>814</v>
      </c>
    </row>
    <row r="29" spans="1:2" ht="59.25" customHeight="1">
      <c r="A29" s="589"/>
      <c r="B29" s="80" t="s">
        <v>815</v>
      </c>
    </row>
    <row r="30" spans="1:2" ht="43.5" customHeight="1">
      <c r="A30" s="589"/>
      <c r="B30" s="80" t="s">
        <v>816</v>
      </c>
    </row>
    <row r="31" spans="1:2" ht="30" customHeight="1">
      <c r="A31" s="589"/>
      <c r="B31" s="80" t="s">
        <v>817</v>
      </c>
    </row>
    <row r="32" spans="1:2" ht="32.25" customHeight="1">
      <c r="A32" s="589"/>
      <c r="B32" s="80" t="s">
        <v>818</v>
      </c>
    </row>
    <row r="33" spans="1:11" ht="51">
      <c r="A33" s="589" t="s">
        <v>819</v>
      </c>
      <c r="B33" s="80" t="s">
        <v>820</v>
      </c>
    </row>
    <row r="34" spans="1:11" ht="51">
      <c r="A34" s="589"/>
      <c r="B34" s="80" t="s">
        <v>821</v>
      </c>
    </row>
    <row r="35" spans="1:11" ht="114.75">
      <c r="A35" s="589"/>
      <c r="B35" s="81" t="s">
        <v>822</v>
      </c>
    </row>
    <row r="39" spans="1:11" ht="13.5" thickBot="1"/>
    <row r="40" spans="1:11" ht="27.75" customHeight="1" thickTop="1" thickBot="1">
      <c r="A40" s="585" t="s">
        <v>823</v>
      </c>
      <c r="B40" s="586"/>
    </row>
    <row r="41" spans="1:11" ht="30.75" customHeight="1" thickTop="1">
      <c r="A41" s="581" t="s">
        <v>824</v>
      </c>
      <c r="B41" s="582"/>
    </row>
    <row r="42" spans="1:11" ht="27.75" customHeight="1">
      <c r="A42" s="581" t="s">
        <v>825</v>
      </c>
      <c r="B42" s="582"/>
    </row>
    <row r="43" spans="1:11" ht="27.75" customHeight="1">
      <c r="A43" s="581" t="s">
        <v>826</v>
      </c>
      <c r="B43" s="582"/>
    </row>
    <row r="44" spans="1:11" ht="27.75" customHeight="1" thickBot="1">
      <c r="A44" s="583" t="s">
        <v>827</v>
      </c>
      <c r="B44" s="584"/>
    </row>
    <row r="45" spans="1:11" ht="13.5" thickTop="1"/>
    <row r="47" spans="1:11" ht="18">
      <c r="A47" s="576"/>
      <c r="B47" s="554"/>
      <c r="C47" s="554"/>
      <c r="D47" s="554"/>
      <c r="E47" s="554"/>
      <c r="F47" s="554"/>
      <c r="G47" s="554"/>
      <c r="H47" s="554"/>
      <c r="I47" s="554"/>
      <c r="J47" s="554"/>
      <c r="K47" s="554"/>
    </row>
    <row r="48" spans="1:11" ht="18">
      <c r="A48" s="576"/>
      <c r="B48" s="103"/>
      <c r="C48" s="103"/>
      <c r="D48" s="103"/>
      <c r="E48" s="103"/>
      <c r="F48" s="103"/>
      <c r="G48" s="103"/>
      <c r="H48" s="103"/>
      <c r="I48" s="103"/>
      <c r="J48" s="103"/>
      <c r="K48" s="103"/>
    </row>
    <row r="49" spans="1:11" ht="18.75">
      <c r="A49" s="576"/>
      <c r="B49" s="103"/>
      <c r="C49" s="61"/>
      <c r="D49" s="61"/>
      <c r="E49" s="61"/>
      <c r="F49" s="61"/>
      <c r="G49" s="60"/>
      <c r="H49" s="60"/>
      <c r="I49" s="60"/>
      <c r="J49" s="61"/>
      <c r="K49" s="103"/>
    </row>
    <row r="50" spans="1:11" ht="18">
      <c r="A50" s="576"/>
      <c r="B50" s="62"/>
      <c r="C50" s="99"/>
      <c r="D50" s="61"/>
      <c r="E50" s="99"/>
      <c r="F50" s="61"/>
      <c r="G50" s="99"/>
      <c r="H50" s="61"/>
      <c r="I50" s="99"/>
      <c r="J50" s="61"/>
      <c r="K50" s="104"/>
    </row>
    <row r="51" spans="1:11" ht="18.75">
      <c r="A51" s="576"/>
      <c r="B51" s="59"/>
      <c r="C51" s="104"/>
      <c r="D51" s="104"/>
      <c r="E51" s="59"/>
      <c r="F51" s="104"/>
      <c r="G51" s="62"/>
      <c r="H51" s="58"/>
      <c r="I51" s="58"/>
      <c r="J51" s="104"/>
      <c r="K51" s="104"/>
    </row>
    <row r="52" spans="1:11" ht="18.75">
      <c r="A52" s="576"/>
      <c r="B52" s="59"/>
      <c r="C52" s="104"/>
      <c r="D52" s="104"/>
      <c r="E52" s="59"/>
      <c r="F52" s="104"/>
      <c r="G52" s="62"/>
      <c r="H52" s="58"/>
      <c r="I52" s="58"/>
      <c r="J52" s="104"/>
      <c r="K52" s="104"/>
    </row>
    <row r="53" spans="1:11" ht="18">
      <c r="A53" s="576"/>
      <c r="B53" s="104"/>
      <c r="C53" s="104"/>
      <c r="D53" s="104"/>
      <c r="E53" s="104"/>
      <c r="F53" s="104"/>
      <c r="G53" s="104"/>
      <c r="H53" s="104"/>
      <c r="I53" s="104"/>
      <c r="J53" s="104"/>
      <c r="K53" s="104"/>
    </row>
    <row r="54" spans="1:11" ht="18">
      <c r="A54" s="577"/>
      <c r="B54" s="557"/>
      <c r="C54" s="557"/>
      <c r="D54" s="554"/>
      <c r="E54" s="554"/>
      <c r="F54" s="554"/>
      <c r="G54" s="554"/>
      <c r="H54" s="554"/>
      <c r="I54" s="554"/>
      <c r="J54" s="554"/>
      <c r="K54" s="554"/>
    </row>
    <row r="55" spans="1:11" ht="18">
      <c r="A55" s="577"/>
      <c r="B55" s="557"/>
      <c r="C55" s="557"/>
      <c r="D55" s="556"/>
      <c r="E55" s="556"/>
      <c r="F55" s="556"/>
      <c r="G55" s="556"/>
      <c r="H55" s="556"/>
      <c r="I55" s="556"/>
      <c r="J55" s="556"/>
      <c r="K55" s="556"/>
    </row>
    <row r="56" spans="1:11" ht="18">
      <c r="A56" s="577"/>
      <c r="B56" s="98"/>
      <c r="C56" s="98"/>
      <c r="D56" s="556"/>
      <c r="E56" s="556"/>
      <c r="F56" s="556"/>
      <c r="G56" s="556"/>
      <c r="H56" s="556"/>
      <c r="I56" s="556"/>
      <c r="J56" s="556"/>
      <c r="K56" s="556"/>
    </row>
    <row r="57" spans="1:11" ht="18">
      <c r="A57" s="577"/>
      <c r="B57" s="566"/>
      <c r="C57" s="566"/>
      <c r="D57" s="556"/>
      <c r="E57" s="556"/>
      <c r="F57" s="556"/>
      <c r="G57" s="556"/>
      <c r="H57" s="556"/>
      <c r="I57" s="556"/>
      <c r="J57" s="556"/>
      <c r="K57" s="556"/>
    </row>
    <row r="58" spans="1:11" ht="18">
      <c r="A58" s="577"/>
      <c r="B58" s="557"/>
      <c r="C58" s="557"/>
      <c r="D58" s="558"/>
      <c r="E58" s="558"/>
      <c r="F58" s="558"/>
      <c r="G58" s="558"/>
      <c r="H58" s="558"/>
      <c r="I58" s="558"/>
      <c r="J58" s="558"/>
      <c r="K58" s="558"/>
    </row>
    <row r="59" spans="1:11" ht="18">
      <c r="A59" s="577"/>
      <c r="B59" s="557"/>
      <c r="C59" s="557"/>
      <c r="D59" s="556"/>
      <c r="E59" s="556"/>
      <c r="F59" s="556"/>
      <c r="G59" s="556"/>
      <c r="H59" s="556"/>
      <c r="I59" s="556"/>
      <c r="J59" s="556"/>
      <c r="K59" s="556"/>
    </row>
    <row r="60" spans="1:11" ht="18">
      <c r="A60" s="576"/>
      <c r="B60" s="555"/>
      <c r="C60" s="555"/>
      <c r="D60" s="555"/>
      <c r="E60" s="555"/>
      <c r="F60" s="555"/>
      <c r="G60" s="555"/>
      <c r="H60" s="555"/>
      <c r="I60" s="555"/>
      <c r="J60" s="555"/>
      <c r="K60" s="555"/>
    </row>
    <row r="61" spans="1:11" ht="18">
      <c r="A61" s="576"/>
      <c r="B61" s="102"/>
      <c r="C61" s="102"/>
      <c r="D61" s="102"/>
      <c r="E61" s="102"/>
      <c r="F61" s="102"/>
      <c r="G61" s="102"/>
      <c r="H61" s="102"/>
      <c r="I61" s="102"/>
      <c r="J61" s="102"/>
      <c r="K61" s="102"/>
    </row>
    <row r="62" spans="1:11" ht="18">
      <c r="A62" s="576"/>
      <c r="B62" s="56"/>
      <c r="C62" s="77"/>
      <c r="D62" s="102"/>
      <c r="E62" s="57"/>
      <c r="F62" s="76"/>
      <c r="G62" s="102"/>
      <c r="H62" s="57"/>
      <c r="I62" s="102"/>
      <c r="J62" s="102"/>
      <c r="K62" s="102"/>
    </row>
    <row r="63" spans="1:11" ht="18">
      <c r="A63" s="576"/>
      <c r="B63" s="559"/>
      <c r="C63" s="559"/>
      <c r="D63" s="559"/>
      <c r="E63" s="559"/>
      <c r="F63" s="559"/>
      <c r="G63" s="559"/>
      <c r="H63" s="559"/>
      <c r="I63" s="559"/>
      <c r="J63" s="559"/>
      <c r="K63" s="559"/>
    </row>
    <row r="64" spans="1:11" ht="18">
      <c r="A64" s="576"/>
      <c r="B64" s="554"/>
      <c r="C64" s="554"/>
      <c r="D64" s="554"/>
      <c r="E64" s="554"/>
      <c r="F64" s="554"/>
      <c r="G64" s="554"/>
      <c r="H64" s="554"/>
      <c r="I64" s="554"/>
      <c r="J64" s="554"/>
      <c r="K64" s="554"/>
    </row>
    <row r="65" spans="1:11" ht="18">
      <c r="A65" s="576"/>
      <c r="B65" s="98"/>
      <c r="C65" s="98"/>
      <c r="D65" s="98"/>
      <c r="E65" s="98"/>
      <c r="F65" s="98"/>
      <c r="G65" s="98"/>
      <c r="H65" s="98"/>
      <c r="I65" s="98"/>
      <c r="J65" s="98"/>
      <c r="K65" s="98"/>
    </row>
    <row r="66" spans="1:11" ht="18.75">
      <c r="A66" s="576"/>
      <c r="B66" s="59"/>
      <c r="C66" s="61"/>
      <c r="D66" s="61"/>
      <c r="E66" s="61"/>
      <c r="F66" s="61"/>
      <c r="G66" s="60"/>
      <c r="H66" s="60"/>
      <c r="I66" s="60"/>
      <c r="J66" s="61"/>
      <c r="K66" s="104"/>
    </row>
    <row r="67" spans="1:11" ht="18.75">
      <c r="A67" s="576"/>
      <c r="B67" s="59"/>
      <c r="C67" s="104"/>
      <c r="D67" s="104"/>
      <c r="E67" s="59"/>
      <c r="F67" s="104"/>
      <c r="G67" s="78"/>
      <c r="H67" s="78"/>
      <c r="I67" s="62"/>
      <c r="J67" s="104"/>
      <c r="K67" s="104"/>
    </row>
    <row r="68" spans="1:11" ht="18.75">
      <c r="A68" s="576"/>
      <c r="B68" s="59"/>
      <c r="C68" s="99"/>
      <c r="D68" s="104"/>
      <c r="E68" s="104"/>
      <c r="F68" s="59"/>
      <c r="G68" s="104"/>
      <c r="H68" s="58"/>
      <c r="I68" s="58"/>
      <c r="J68" s="104"/>
      <c r="K68" s="104"/>
    </row>
    <row r="69" spans="1:11" ht="18">
      <c r="A69" s="101"/>
      <c r="B69" s="555"/>
      <c r="C69" s="555"/>
      <c r="D69" s="555"/>
      <c r="E69" s="555"/>
      <c r="F69" s="555"/>
      <c r="G69" s="555"/>
      <c r="H69" s="555"/>
      <c r="I69" s="555"/>
      <c r="J69" s="555"/>
      <c r="K69" s="555"/>
    </row>
    <row r="70" spans="1:11" ht="18">
      <c r="A70" s="101"/>
      <c r="B70" s="555"/>
      <c r="C70" s="555"/>
      <c r="D70" s="555"/>
      <c r="E70" s="555"/>
      <c r="F70" s="555"/>
      <c r="G70" s="555"/>
      <c r="H70" s="555"/>
      <c r="I70" s="555"/>
      <c r="J70" s="555"/>
      <c r="K70" s="555"/>
    </row>
    <row r="71" spans="1:11" ht="18">
      <c r="A71" s="101"/>
      <c r="B71" s="555"/>
      <c r="C71" s="555"/>
      <c r="D71" s="555"/>
      <c r="E71" s="555"/>
      <c r="F71" s="555"/>
      <c r="G71" s="555"/>
      <c r="H71" s="555"/>
      <c r="I71" s="555"/>
      <c r="J71" s="555"/>
      <c r="K71" s="555"/>
    </row>
    <row r="72" spans="1:11" ht="18">
      <c r="A72" s="101"/>
      <c r="B72" s="555"/>
      <c r="C72" s="555"/>
      <c r="D72" s="555"/>
      <c r="E72" s="555"/>
      <c r="F72" s="555"/>
      <c r="G72" s="555"/>
      <c r="H72" s="555"/>
      <c r="I72" s="555"/>
      <c r="J72" s="555"/>
      <c r="K72" s="555"/>
    </row>
  </sheetData>
  <mergeCells count="35">
    <mergeCell ref="B59:C59"/>
    <mergeCell ref="D59:K59"/>
    <mergeCell ref="A4:A13"/>
    <mergeCell ref="A1:B1"/>
    <mergeCell ref="A41:B41"/>
    <mergeCell ref="A44:B44"/>
    <mergeCell ref="A40:B40"/>
    <mergeCell ref="A42:B42"/>
    <mergeCell ref="A43:B43"/>
    <mergeCell ref="A14:A16"/>
    <mergeCell ref="A19:B19"/>
    <mergeCell ref="A21:A23"/>
    <mergeCell ref="A24:A32"/>
    <mergeCell ref="A33:A35"/>
    <mergeCell ref="A60:A63"/>
    <mergeCell ref="B60:K60"/>
    <mergeCell ref="B63:K63"/>
    <mergeCell ref="A64:A68"/>
    <mergeCell ref="B64:K64"/>
    <mergeCell ref="B69:K69"/>
    <mergeCell ref="B70:K70"/>
    <mergeCell ref="B71:K71"/>
    <mergeCell ref="B72:K72"/>
    <mergeCell ref="A47:A53"/>
    <mergeCell ref="B47:K47"/>
    <mergeCell ref="A54:A59"/>
    <mergeCell ref="B54:C54"/>
    <mergeCell ref="D54:K54"/>
    <mergeCell ref="B55:C55"/>
    <mergeCell ref="D55:K55"/>
    <mergeCell ref="D56:K56"/>
    <mergeCell ref="B57:C57"/>
    <mergeCell ref="D57:K57"/>
    <mergeCell ref="B58:C58"/>
    <mergeCell ref="D58:K58"/>
  </mergeCells>
  <printOptions horizontalCentered="1" verticalCentered="1"/>
  <pageMargins left="0.23622047244094491" right="0.23622047244094491" top="0.74803149606299213" bottom="0.74803149606299213" header="0.31496062992125984" footer="0.31496062992125984"/>
  <pageSetup scale="58" fitToHeight="0" orientation="portrait" r:id="rId1"/>
  <headerFooter>
    <oddFooter xml:space="preserve">&amp;LF-CA-02 (VERSIÓN 11)&amp;C&amp;P&amp;RSubdirección General de Prospectiva y Desarrollo Nacional - Grupo CONPES </oddFooter>
  </headerFooter>
  <colBreaks count="1" manualBreakCount="1">
    <brk id="2" max="7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6"/>
  <sheetViews>
    <sheetView zoomScale="70" zoomScaleNormal="70" workbookViewId="0"/>
  </sheetViews>
  <sheetFormatPr baseColWidth="10" defaultColWidth="11.42578125" defaultRowHeight="12.75"/>
  <sheetData>
    <row r="2" spans="1:20">
      <c r="A2" s="1" t="s">
        <v>34</v>
      </c>
      <c r="B2" s="1" t="s">
        <v>37</v>
      </c>
      <c r="C2" s="1"/>
    </row>
    <row r="3" spans="1:20">
      <c r="A3" t="s">
        <v>78</v>
      </c>
      <c r="B3" s="22" t="s">
        <v>125</v>
      </c>
      <c r="C3" s="22"/>
    </row>
    <row r="4" spans="1:20">
      <c r="A4" t="s">
        <v>97</v>
      </c>
      <c r="B4" s="22" t="s">
        <v>87</v>
      </c>
      <c r="C4" s="22"/>
    </row>
    <row r="5" spans="1:20">
      <c r="A5" s="22" t="s">
        <v>601</v>
      </c>
      <c r="B5" s="22" t="s">
        <v>828</v>
      </c>
      <c r="C5" s="22"/>
    </row>
    <row r="6" spans="1:20">
      <c r="B6" s="22" t="s">
        <v>829</v>
      </c>
    </row>
    <row r="8" spans="1:20" ht="13.5" thickBot="1"/>
    <row r="9" spans="1:20" s="4" customFormat="1" ht="105">
      <c r="A9" s="4" t="s">
        <v>830</v>
      </c>
      <c r="B9" s="4" t="s">
        <v>831</v>
      </c>
      <c r="C9" s="109"/>
      <c r="D9" s="4" t="s">
        <v>832</v>
      </c>
      <c r="E9" s="4" t="s">
        <v>833</v>
      </c>
      <c r="F9" s="4" t="s">
        <v>834</v>
      </c>
      <c r="G9" s="4" t="s">
        <v>835</v>
      </c>
      <c r="H9" s="4" t="s">
        <v>836</v>
      </c>
      <c r="I9" s="4" t="s">
        <v>837</v>
      </c>
      <c r="J9" s="4" t="s">
        <v>838</v>
      </c>
      <c r="K9" s="4" t="s">
        <v>839</v>
      </c>
      <c r="L9" s="4" t="s">
        <v>840</v>
      </c>
      <c r="M9" s="4" t="s">
        <v>841</v>
      </c>
      <c r="N9" s="4" t="s">
        <v>842</v>
      </c>
      <c r="O9" s="4" t="s">
        <v>843</v>
      </c>
      <c r="P9" s="4" t="s">
        <v>648</v>
      </c>
      <c r="Q9" s="4" t="s">
        <v>844</v>
      </c>
      <c r="R9" s="4" t="s">
        <v>845</v>
      </c>
      <c r="S9" s="4" t="s">
        <v>846</v>
      </c>
      <c r="T9" s="4" t="s">
        <v>847</v>
      </c>
    </row>
    <row r="10" spans="1:20" ht="114.75">
      <c r="A10" s="5" t="s">
        <v>848</v>
      </c>
      <c r="B10" s="8" t="s">
        <v>836</v>
      </c>
      <c r="C10" s="6"/>
      <c r="D10" s="7" t="s">
        <v>849</v>
      </c>
      <c r="E10" s="8" t="s">
        <v>850</v>
      </c>
      <c r="F10" s="8" t="s">
        <v>851</v>
      </c>
      <c r="G10" s="8"/>
      <c r="H10" s="8" t="s">
        <v>852</v>
      </c>
      <c r="I10" s="6" t="s">
        <v>853</v>
      </c>
      <c r="J10" s="6" t="s">
        <v>854</v>
      </c>
      <c r="K10" s="8" t="s">
        <v>855</v>
      </c>
      <c r="L10" s="8" t="s">
        <v>856</v>
      </c>
      <c r="M10" s="8" t="s">
        <v>857</v>
      </c>
      <c r="N10" s="6" t="s">
        <v>858</v>
      </c>
      <c r="O10" s="6" t="s">
        <v>859</v>
      </c>
      <c r="P10" s="6" t="s">
        <v>860</v>
      </c>
      <c r="Q10" s="6" t="s">
        <v>844</v>
      </c>
      <c r="R10" s="6" t="s">
        <v>845</v>
      </c>
      <c r="S10" s="9" t="s">
        <v>846</v>
      </c>
      <c r="T10" s="9" t="s">
        <v>861</v>
      </c>
    </row>
    <row r="11" spans="1:20" ht="120">
      <c r="A11" s="106" t="s">
        <v>862</v>
      </c>
      <c r="B11" s="8" t="s">
        <v>153</v>
      </c>
      <c r="C11" s="6"/>
      <c r="D11" s="7" t="s">
        <v>863</v>
      </c>
      <c r="E11" s="8" t="s">
        <v>864</v>
      </c>
      <c r="F11" s="8" t="s">
        <v>865</v>
      </c>
      <c r="G11" s="8"/>
      <c r="H11" s="8" t="s">
        <v>866</v>
      </c>
      <c r="I11" s="6" t="s">
        <v>867</v>
      </c>
      <c r="J11" s="6" t="s">
        <v>868</v>
      </c>
      <c r="K11" s="8" t="s">
        <v>869</v>
      </c>
      <c r="L11" s="8" t="s">
        <v>870</v>
      </c>
      <c r="M11" s="8" t="s">
        <v>871</v>
      </c>
      <c r="N11" s="6" t="s">
        <v>872</v>
      </c>
      <c r="O11" s="6" t="s">
        <v>873</v>
      </c>
      <c r="P11" s="6" t="s">
        <v>874</v>
      </c>
      <c r="Q11" s="10"/>
      <c r="R11" s="6"/>
      <c r="S11" s="11"/>
      <c r="T11" s="11"/>
    </row>
    <row r="12" spans="1:20" ht="90">
      <c r="A12" s="183" t="s">
        <v>875</v>
      </c>
      <c r="B12" s="8" t="s">
        <v>876</v>
      </c>
      <c r="C12" s="6"/>
      <c r="D12" s="7" t="s">
        <v>877</v>
      </c>
      <c r="E12" s="8" t="s">
        <v>878</v>
      </c>
      <c r="F12" s="8" t="s">
        <v>879</v>
      </c>
      <c r="G12" s="8"/>
      <c r="H12" s="10"/>
      <c r="I12" s="6" t="s">
        <v>880</v>
      </c>
      <c r="J12" s="6" t="s">
        <v>881</v>
      </c>
      <c r="K12" s="12"/>
      <c r="L12" s="10"/>
      <c r="M12" s="10"/>
      <c r="N12" s="10"/>
      <c r="O12" s="6" t="s">
        <v>882</v>
      </c>
      <c r="P12" s="6" t="s">
        <v>883</v>
      </c>
      <c r="Q12" s="10"/>
      <c r="R12" s="6"/>
      <c r="S12" s="11"/>
      <c r="T12" s="11"/>
    </row>
    <row r="13" spans="1:20" ht="90">
      <c r="A13" s="181" t="s">
        <v>884</v>
      </c>
      <c r="B13" s="8" t="s">
        <v>885</v>
      </c>
      <c r="C13" s="6"/>
      <c r="D13" s="7"/>
      <c r="E13" s="8"/>
      <c r="F13" s="8"/>
      <c r="G13" s="8"/>
      <c r="H13" s="10"/>
      <c r="I13" s="6"/>
      <c r="J13" s="6"/>
      <c r="K13" s="12"/>
      <c r="L13" s="10"/>
      <c r="M13" s="10"/>
      <c r="N13" s="10"/>
      <c r="O13" s="6"/>
      <c r="P13" s="6"/>
      <c r="Q13" s="10"/>
      <c r="R13" s="6"/>
      <c r="S13" s="11"/>
      <c r="T13" s="11"/>
    </row>
    <row r="14" spans="1:20" ht="60">
      <c r="A14" s="181" t="s">
        <v>886</v>
      </c>
      <c r="B14" s="8" t="s">
        <v>887</v>
      </c>
      <c r="C14" s="6"/>
      <c r="D14" s="7"/>
      <c r="E14" s="8"/>
      <c r="F14" s="8"/>
      <c r="G14" s="8"/>
      <c r="H14" s="10"/>
      <c r="I14" s="6"/>
      <c r="J14" s="6"/>
      <c r="K14" s="12"/>
      <c r="L14" s="10"/>
      <c r="M14" s="10"/>
      <c r="N14" s="10"/>
      <c r="O14" s="6"/>
      <c r="P14" s="6"/>
      <c r="Q14" s="10"/>
      <c r="R14" s="6"/>
      <c r="S14" s="11"/>
      <c r="T14" s="11"/>
    </row>
    <row r="15" spans="1:20" ht="51">
      <c r="A15" s="5" t="s">
        <v>888</v>
      </c>
      <c r="B15" s="6" t="s">
        <v>840</v>
      </c>
      <c r="C15" s="6"/>
      <c r="D15" s="7" t="s">
        <v>889</v>
      </c>
      <c r="E15" s="8"/>
      <c r="F15" s="8"/>
      <c r="G15" s="8"/>
      <c r="H15" s="10"/>
      <c r="I15" s="6"/>
      <c r="J15" s="6" t="s">
        <v>890</v>
      </c>
      <c r="K15" s="12"/>
      <c r="L15" s="10"/>
      <c r="M15" s="10"/>
      <c r="N15" s="10"/>
      <c r="O15" s="6"/>
      <c r="P15" s="6" t="s">
        <v>891</v>
      </c>
      <c r="Q15" s="10"/>
      <c r="R15" s="7"/>
      <c r="S15" s="11"/>
      <c r="T15" s="11"/>
    </row>
    <row r="16" spans="1:20" ht="45">
      <c r="A16" s="5" t="s">
        <v>5</v>
      </c>
      <c r="B16" s="6" t="s">
        <v>838</v>
      </c>
      <c r="C16" s="8"/>
      <c r="D16" s="7"/>
      <c r="E16" s="10"/>
      <c r="F16" s="10"/>
      <c r="G16" s="10"/>
      <c r="H16" s="10"/>
      <c r="I16" s="10"/>
      <c r="J16" s="8" t="s">
        <v>215</v>
      </c>
      <c r="K16" s="10"/>
      <c r="L16" s="10"/>
      <c r="M16" s="10"/>
      <c r="N16" s="10"/>
      <c r="O16" s="10"/>
      <c r="P16" s="10"/>
      <c r="Q16" s="10"/>
      <c r="R16" s="7"/>
      <c r="S16" s="11"/>
      <c r="T16" s="11"/>
    </row>
    <row r="17" spans="1:20" ht="38.25">
      <c r="A17" s="5" t="s">
        <v>892</v>
      </c>
      <c r="B17" s="6" t="s">
        <v>841</v>
      </c>
      <c r="C17" s="6"/>
      <c r="D17" s="10"/>
      <c r="E17" s="10"/>
      <c r="F17" s="10"/>
      <c r="G17" s="10"/>
      <c r="H17" s="10"/>
      <c r="I17" s="10"/>
      <c r="J17" s="10"/>
      <c r="K17" s="10"/>
      <c r="L17" s="10"/>
      <c r="M17" s="10"/>
      <c r="N17" s="10"/>
      <c r="O17" s="10"/>
      <c r="P17" s="10"/>
      <c r="Q17" s="10"/>
      <c r="R17" s="7"/>
      <c r="S17" s="11"/>
      <c r="T17" s="11"/>
    </row>
    <row r="18" spans="1:20" ht="38.25">
      <c r="A18" s="5" t="s">
        <v>893</v>
      </c>
      <c r="B18" s="6" t="s">
        <v>843</v>
      </c>
      <c r="C18" s="6"/>
      <c r="D18" s="10"/>
      <c r="E18" s="10"/>
      <c r="F18" s="10"/>
      <c r="G18" s="10"/>
      <c r="H18" s="10"/>
      <c r="I18" s="10"/>
      <c r="J18" s="10"/>
      <c r="K18" s="10"/>
      <c r="L18" s="10"/>
      <c r="M18" s="10"/>
      <c r="N18" s="10"/>
      <c r="O18" s="10"/>
      <c r="P18" s="10"/>
      <c r="Q18" s="10"/>
      <c r="R18" s="10"/>
      <c r="S18" s="11"/>
      <c r="T18" s="11"/>
    </row>
    <row r="19" spans="1:20" ht="51">
      <c r="A19" s="5" t="s">
        <v>894</v>
      </c>
      <c r="B19" s="6" t="s">
        <v>842</v>
      </c>
      <c r="C19" s="6"/>
      <c r="D19" s="10"/>
      <c r="E19" s="10"/>
      <c r="F19" s="10"/>
      <c r="G19" s="10"/>
      <c r="H19" s="10"/>
      <c r="I19" s="10"/>
      <c r="J19" s="10"/>
      <c r="K19" s="10"/>
      <c r="L19" s="10"/>
      <c r="M19" s="10"/>
      <c r="N19" s="10"/>
      <c r="O19" s="10"/>
      <c r="P19" s="10"/>
      <c r="Q19" s="10"/>
      <c r="R19" s="10"/>
      <c r="S19" s="11"/>
      <c r="T19" s="11"/>
    </row>
    <row r="20" spans="1:20" ht="51">
      <c r="A20" s="5" t="s">
        <v>895</v>
      </c>
      <c r="B20" s="6" t="s">
        <v>837</v>
      </c>
      <c r="C20" s="6"/>
      <c r="D20" s="10"/>
      <c r="E20" s="10"/>
      <c r="F20" s="10"/>
      <c r="G20" s="10"/>
      <c r="H20" s="10"/>
      <c r="I20" s="10"/>
      <c r="J20" s="10"/>
      <c r="K20" s="10"/>
      <c r="L20" s="10"/>
      <c r="M20" s="10"/>
      <c r="N20" s="10"/>
      <c r="O20" s="10"/>
      <c r="P20" s="10"/>
      <c r="Q20" s="10"/>
      <c r="R20" s="10"/>
      <c r="S20" s="11"/>
      <c r="T20" s="11"/>
    </row>
    <row r="21" spans="1:20" ht="63.75">
      <c r="A21" s="182" t="s">
        <v>896</v>
      </c>
      <c r="B21" s="6" t="s">
        <v>897</v>
      </c>
      <c r="C21" s="6"/>
      <c r="D21" s="10"/>
      <c r="E21" s="10"/>
      <c r="F21" s="10"/>
      <c r="G21" s="10"/>
      <c r="H21" s="10"/>
      <c r="I21" s="10"/>
      <c r="J21" s="10"/>
      <c r="K21" s="10"/>
      <c r="L21" s="10"/>
      <c r="M21" s="10"/>
      <c r="N21" s="10"/>
      <c r="O21" s="10"/>
      <c r="P21" s="10"/>
      <c r="Q21" s="10"/>
      <c r="R21" s="10"/>
      <c r="S21" s="11"/>
      <c r="T21" s="11"/>
    </row>
    <row r="22" spans="1:20" ht="63.75">
      <c r="A22" s="182" t="s">
        <v>898</v>
      </c>
      <c r="B22" s="6" t="s">
        <v>899</v>
      </c>
      <c r="C22" s="6"/>
      <c r="D22" s="10"/>
      <c r="E22" s="10"/>
      <c r="F22" s="10"/>
      <c r="G22" s="10"/>
      <c r="H22" s="10"/>
      <c r="I22" s="10"/>
      <c r="J22" s="10"/>
      <c r="K22" s="10"/>
      <c r="L22" s="10"/>
      <c r="M22" s="10"/>
      <c r="N22" s="10"/>
      <c r="O22" s="10"/>
      <c r="P22" s="10"/>
      <c r="Q22" s="10"/>
      <c r="R22" s="10"/>
      <c r="S22" s="11"/>
      <c r="T22" s="11"/>
    </row>
    <row r="23" spans="1:20" ht="51">
      <c r="A23" s="184" t="s">
        <v>900</v>
      </c>
      <c r="B23" s="84" t="s">
        <v>901</v>
      </c>
      <c r="C23" s="6"/>
      <c r="D23" s="10"/>
      <c r="E23" s="10"/>
      <c r="F23" s="10"/>
      <c r="G23" s="10"/>
      <c r="H23" s="10"/>
      <c r="I23" s="10"/>
      <c r="J23" s="10"/>
      <c r="K23" s="10"/>
      <c r="L23" s="10"/>
      <c r="M23" s="10"/>
      <c r="N23" s="10"/>
      <c r="O23" s="10"/>
      <c r="P23" s="10"/>
      <c r="Q23" s="10"/>
      <c r="R23" s="10"/>
      <c r="S23" s="11"/>
      <c r="T23" s="11"/>
    </row>
    <row r="24" spans="1:20" ht="63.75">
      <c r="A24" s="5" t="s">
        <v>902</v>
      </c>
      <c r="B24" s="6" t="s">
        <v>648</v>
      </c>
      <c r="C24" s="6"/>
      <c r="D24" s="10"/>
      <c r="E24" s="10"/>
      <c r="F24" s="10"/>
      <c r="G24" s="10"/>
      <c r="H24" s="10"/>
      <c r="I24" s="10"/>
      <c r="J24" s="10"/>
      <c r="K24" s="10"/>
      <c r="L24" s="10"/>
      <c r="M24" s="10"/>
      <c r="N24" s="10"/>
      <c r="O24" s="10"/>
      <c r="P24" s="10"/>
      <c r="Q24" s="10"/>
      <c r="R24" s="10"/>
      <c r="S24" s="11"/>
      <c r="T24" s="11"/>
    </row>
    <row r="25" spans="1:20" ht="76.5">
      <c r="A25" s="184" t="s">
        <v>903</v>
      </c>
      <c r="B25" s="84" t="s">
        <v>904</v>
      </c>
      <c r="C25" s="6"/>
      <c r="D25" s="10"/>
      <c r="E25" s="10"/>
      <c r="F25" s="10"/>
      <c r="G25" s="10"/>
      <c r="H25" s="10"/>
      <c r="I25" s="10"/>
      <c r="J25" s="10"/>
      <c r="K25" s="10"/>
      <c r="L25" s="10"/>
      <c r="M25" s="10"/>
      <c r="N25" s="10"/>
      <c r="O25" s="10"/>
      <c r="P25" s="10"/>
      <c r="Q25" s="10"/>
      <c r="R25" s="10"/>
      <c r="S25" s="11"/>
      <c r="T25" s="11"/>
    </row>
    <row r="26" spans="1:20" ht="63.75">
      <c r="A26" s="184" t="s">
        <v>905</v>
      </c>
      <c r="B26" s="84" t="s">
        <v>906</v>
      </c>
      <c r="C26" s="6"/>
      <c r="D26" s="10"/>
      <c r="E26" s="10"/>
      <c r="F26" s="10"/>
      <c r="G26" s="10"/>
      <c r="H26" s="10"/>
      <c r="I26" s="10"/>
      <c r="J26" s="10"/>
      <c r="K26" s="10"/>
      <c r="L26" s="10"/>
      <c r="M26" s="10"/>
      <c r="N26" s="10"/>
      <c r="O26" s="10"/>
      <c r="P26" s="10"/>
      <c r="Q26" s="10"/>
      <c r="R26" s="10"/>
      <c r="S26" s="11"/>
      <c r="T26" s="11"/>
    </row>
    <row r="27" spans="1:20" ht="25.5">
      <c r="A27" s="184" t="s">
        <v>907</v>
      </c>
      <c r="B27" s="84" t="s">
        <v>908</v>
      </c>
      <c r="C27" s="6"/>
      <c r="D27" s="10"/>
      <c r="E27" s="10"/>
      <c r="F27" s="10"/>
      <c r="G27" s="10"/>
      <c r="H27" s="10"/>
      <c r="I27" s="10"/>
      <c r="J27" s="10"/>
      <c r="K27" s="10"/>
      <c r="L27" s="10"/>
      <c r="M27" s="10"/>
      <c r="N27" s="10"/>
      <c r="O27" s="10"/>
      <c r="P27" s="10"/>
      <c r="Q27" s="10"/>
      <c r="R27" s="10"/>
      <c r="S27" s="11"/>
      <c r="T27" s="11"/>
    </row>
    <row r="28" spans="1:20" ht="115.5" thickBot="1">
      <c r="A28" s="185" t="s">
        <v>909</v>
      </c>
      <c r="B28" s="186" t="s">
        <v>910</v>
      </c>
      <c r="C28" s="13"/>
      <c r="D28" s="14"/>
      <c r="E28" s="14"/>
      <c r="F28" s="14"/>
      <c r="G28" s="14"/>
      <c r="H28" s="14"/>
      <c r="I28" s="14"/>
      <c r="J28" s="14"/>
      <c r="K28" s="14"/>
      <c r="L28" s="14"/>
      <c r="M28" s="14"/>
      <c r="N28" s="14"/>
      <c r="O28" s="14"/>
      <c r="P28" s="14"/>
      <c r="Q28" s="14"/>
      <c r="R28" s="14"/>
      <c r="S28" s="15"/>
      <c r="T28" s="15"/>
    </row>
    <row r="29" spans="1:20" ht="141" thickBot="1">
      <c r="A29" s="185" t="s">
        <v>911</v>
      </c>
      <c r="B29" s="186" t="s">
        <v>912</v>
      </c>
      <c r="C29" s="13"/>
      <c r="D29" s="14"/>
      <c r="E29" s="14"/>
      <c r="F29" s="14"/>
      <c r="G29" s="14"/>
      <c r="H29" s="14"/>
      <c r="I29" s="14"/>
      <c r="J29" s="14"/>
      <c r="K29" s="14"/>
      <c r="L29" s="14"/>
      <c r="M29" s="14"/>
      <c r="N29" s="14"/>
      <c r="O29" s="14"/>
      <c r="P29" s="14"/>
      <c r="Q29" s="14"/>
      <c r="R29" s="14"/>
      <c r="S29" s="15"/>
      <c r="T29" s="15"/>
    </row>
    <row r="30" spans="1:20" ht="102.75" thickBot="1">
      <c r="A30" s="185" t="s">
        <v>913</v>
      </c>
      <c r="B30" s="186" t="s">
        <v>914</v>
      </c>
      <c r="C30" s="13"/>
      <c r="D30" s="14"/>
      <c r="E30" s="14"/>
      <c r="F30" s="14"/>
      <c r="G30" s="14"/>
      <c r="H30" s="14"/>
      <c r="I30" s="14"/>
      <c r="J30" s="14"/>
      <c r="K30" s="14"/>
      <c r="L30" s="14"/>
      <c r="M30" s="14"/>
      <c r="N30" s="14"/>
      <c r="O30" s="14"/>
      <c r="P30" s="14"/>
      <c r="Q30" s="14"/>
      <c r="R30" s="14"/>
      <c r="S30" s="15"/>
      <c r="T30" s="15"/>
    </row>
    <row r="31" spans="1:20" ht="128.25" thickBot="1">
      <c r="A31" s="185" t="s">
        <v>915</v>
      </c>
      <c r="B31" s="186" t="s">
        <v>916</v>
      </c>
      <c r="C31" s="13"/>
      <c r="D31" s="14"/>
      <c r="E31" s="14"/>
      <c r="F31" s="14"/>
      <c r="G31" s="14"/>
      <c r="H31" s="14"/>
      <c r="I31" s="14"/>
      <c r="J31" s="14"/>
      <c r="K31" s="14"/>
      <c r="L31" s="14"/>
      <c r="M31" s="14"/>
      <c r="N31" s="14"/>
      <c r="O31" s="14"/>
      <c r="P31" s="14"/>
      <c r="Q31" s="14"/>
      <c r="R31" s="14"/>
      <c r="S31" s="15"/>
      <c r="T31" s="15"/>
    </row>
    <row r="33" spans="1:11" ht="15">
      <c r="A33" s="106"/>
      <c r="B33" s="107"/>
      <c r="C33" s="107"/>
      <c r="D33" s="108" t="s">
        <v>119</v>
      </c>
      <c r="G33" s="22" t="s">
        <v>917</v>
      </c>
      <c r="K33" s="22"/>
    </row>
    <row r="34" spans="1:11" ht="15">
      <c r="B34" s="107"/>
      <c r="C34" s="107"/>
      <c r="D34" s="108" t="s">
        <v>114</v>
      </c>
      <c r="G34" s="22" t="s">
        <v>918</v>
      </c>
      <c r="K34" s="22"/>
    </row>
    <row r="35" spans="1:11" ht="15">
      <c r="B35" s="107"/>
      <c r="C35" s="107"/>
      <c r="D35" s="108" t="s">
        <v>126</v>
      </c>
      <c r="G35" s="22" t="s">
        <v>919</v>
      </c>
    </row>
    <row r="36" spans="1:11" ht="15">
      <c r="B36" s="107"/>
      <c r="C36" s="107"/>
      <c r="D36" s="108" t="s">
        <v>155</v>
      </c>
      <c r="G36" s="22" t="s">
        <v>920</v>
      </c>
    </row>
    <row r="37" spans="1:11" ht="15">
      <c r="B37" s="107"/>
      <c r="C37" s="107"/>
      <c r="D37" s="108" t="s">
        <v>921</v>
      </c>
      <c r="G37" s="22" t="s">
        <v>922</v>
      </c>
    </row>
    <row r="38" spans="1:11" ht="15">
      <c r="B38" s="107"/>
      <c r="C38" s="107"/>
      <c r="D38" s="108" t="s">
        <v>923</v>
      </c>
      <c r="G38" s="22" t="s">
        <v>924</v>
      </c>
    </row>
    <row r="39" spans="1:11" ht="15">
      <c r="B39" s="107"/>
      <c r="C39" s="107"/>
      <c r="D39" s="108" t="s">
        <v>189</v>
      </c>
      <c r="G39" s="22" t="s">
        <v>925</v>
      </c>
    </row>
    <row r="40" spans="1:11">
      <c r="B40" s="107"/>
      <c r="C40" s="107"/>
      <c r="D40" t="str">
        <f>CONCATENATE($A$40," ",B40)</f>
        <v xml:space="preserve"> </v>
      </c>
      <c r="G40" s="22" t="s">
        <v>926</v>
      </c>
    </row>
    <row r="41" spans="1:11">
      <c r="B41" s="107"/>
      <c r="C41" s="107"/>
      <c r="D41" t="str">
        <f t="shared" ref="D41:D45" si="0">CONCATENATE($A$40," ",B41)</f>
        <v xml:space="preserve"> </v>
      </c>
      <c r="G41" s="22" t="s">
        <v>927</v>
      </c>
    </row>
    <row r="42" spans="1:11">
      <c r="B42" s="107"/>
      <c r="C42" s="107"/>
      <c r="D42" t="str">
        <f t="shared" si="0"/>
        <v xml:space="preserve"> </v>
      </c>
      <c r="G42" s="22" t="s">
        <v>928</v>
      </c>
    </row>
    <row r="43" spans="1:11">
      <c r="B43" s="107"/>
      <c r="C43" s="107"/>
      <c r="D43" t="str">
        <f t="shared" si="0"/>
        <v xml:space="preserve"> </v>
      </c>
      <c r="G43" s="22" t="s">
        <v>929</v>
      </c>
    </row>
    <row r="44" spans="1:11">
      <c r="B44" s="107"/>
      <c r="C44" s="107"/>
      <c r="D44" t="str">
        <f t="shared" si="0"/>
        <v xml:space="preserve"> </v>
      </c>
      <c r="G44" s="22" t="s">
        <v>930</v>
      </c>
    </row>
    <row r="45" spans="1:11">
      <c r="B45" s="107"/>
      <c r="C45" s="107"/>
      <c r="D45" t="str">
        <f t="shared" si="0"/>
        <v xml:space="preserve"> </v>
      </c>
      <c r="G45" s="22" t="s">
        <v>931</v>
      </c>
    </row>
    <row r="46" spans="1:11">
      <c r="B46" s="107"/>
      <c r="C46" s="107"/>
      <c r="D46" t="str">
        <f t="shared" ref="D46:D55" si="1">CONCATENATE($A$46," ",B46)</f>
        <v xml:space="preserve"> </v>
      </c>
      <c r="G46" s="22" t="s">
        <v>932</v>
      </c>
    </row>
    <row r="47" spans="1:11">
      <c r="B47" s="107"/>
      <c r="C47" s="107"/>
      <c r="D47" t="str">
        <f t="shared" si="1"/>
        <v xml:space="preserve"> </v>
      </c>
      <c r="G47" s="22" t="s">
        <v>933</v>
      </c>
    </row>
    <row r="48" spans="1:11">
      <c r="B48" s="107"/>
      <c r="C48" s="107"/>
      <c r="D48" t="str">
        <f t="shared" si="1"/>
        <v xml:space="preserve"> </v>
      </c>
      <c r="G48" s="22" t="s">
        <v>934</v>
      </c>
    </row>
    <row r="49" spans="2:7">
      <c r="B49" s="107"/>
      <c r="C49" s="107"/>
      <c r="D49" t="str">
        <f t="shared" si="1"/>
        <v xml:space="preserve"> </v>
      </c>
      <c r="E49" s="107"/>
      <c r="F49" s="107"/>
      <c r="G49" s="22" t="s">
        <v>935</v>
      </c>
    </row>
    <row r="50" spans="2:7">
      <c r="B50" s="107"/>
      <c r="C50" s="107"/>
      <c r="D50" t="str">
        <f t="shared" si="1"/>
        <v xml:space="preserve"> </v>
      </c>
      <c r="E50" s="107"/>
      <c r="F50" s="107"/>
      <c r="G50" s="22" t="s">
        <v>936</v>
      </c>
    </row>
    <row r="51" spans="2:7">
      <c r="B51" s="107"/>
      <c r="C51" s="107"/>
      <c r="D51" t="str">
        <f t="shared" si="1"/>
        <v xml:space="preserve"> </v>
      </c>
      <c r="E51" s="107"/>
      <c r="F51" s="107"/>
    </row>
    <row r="52" spans="2:7">
      <c r="B52" s="107"/>
      <c r="C52" s="107"/>
      <c r="D52" t="str">
        <f t="shared" si="1"/>
        <v xml:space="preserve"> </v>
      </c>
      <c r="E52" s="107"/>
      <c r="F52" s="107"/>
    </row>
    <row r="53" spans="2:7">
      <c r="B53" s="107"/>
      <c r="C53" s="107"/>
      <c r="D53" t="str">
        <f t="shared" si="1"/>
        <v xml:space="preserve"> </v>
      </c>
      <c r="E53" s="107"/>
      <c r="F53" s="107"/>
    </row>
    <row r="54" spans="2:7">
      <c r="B54" s="107"/>
      <c r="C54" s="107"/>
      <c r="D54" t="str">
        <f t="shared" si="1"/>
        <v xml:space="preserve"> </v>
      </c>
      <c r="E54" s="107"/>
      <c r="F54" s="107"/>
    </row>
    <row r="55" spans="2:7">
      <c r="B55" s="107"/>
      <c r="C55" s="107"/>
      <c r="D55" t="str">
        <f t="shared" si="1"/>
        <v xml:space="preserve"> </v>
      </c>
      <c r="E55" s="107"/>
      <c r="F55" s="107"/>
    </row>
    <row r="56" spans="2:7">
      <c r="B56" s="107"/>
      <c r="C56" s="107"/>
      <c r="D56" t="str">
        <f>CONCATENATE($A$56," ",B56)</f>
        <v xml:space="preserve"> </v>
      </c>
    </row>
  </sheetData>
  <sortState xmlns:xlrd2="http://schemas.microsoft.com/office/spreadsheetml/2017/richdata2" ref="G33:G50">
    <sortCondition ref="G33:G5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DNPOI-34-4889</_dlc_DocId>
    <_dlc_DocIdUrl xmlns="af7f7f6b-44e7-444a-90a4-d02bbf46acb6">
      <Url>https://colaboracion.dnp.gov.co/CDT/_layouts/15/DocIdRedir.aspx?ID=DNPOI-34-4889</Url>
      <Description>DNPOI-34-4889</Description>
    </_dlc_DocIdUrl>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 xsi:nil="true"/>
    <Fecha_x0020_Documento xmlns="09e71aba-2254-4bf9-bde9-fe551177c8ee">2022-04-18T05:00:00+00:00</Fecha_x0020_Documento>
    <Número xmlns="09e71aba-2254-4bf9-bde9-fe551177c8ee">4080</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39a299e2a9b228647a1ac2dacaa8a9ce">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441f0c4c3728511ed06a3750137e4826"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5A154F4-C5D7-4A04-A025-8E0E4A8DAE79}"/>
</file>

<file path=customXml/itemProps2.xml><?xml version="1.0" encoding="utf-8"?>
<ds:datastoreItem xmlns:ds="http://schemas.openxmlformats.org/officeDocument/2006/customXml" ds:itemID="{68DB1DDE-92F9-4DE1-AD6A-5507ECD87919}"/>
</file>

<file path=customXml/itemProps3.xml><?xml version="1.0" encoding="utf-8"?>
<ds:datastoreItem xmlns:ds="http://schemas.openxmlformats.org/officeDocument/2006/customXml" ds:itemID="{B4A5E625-FFC5-4402-B644-161C44D7669D}"/>
</file>

<file path=customXml/itemProps4.xml><?xml version="1.0" encoding="utf-8"?>
<ds:datastoreItem xmlns:ds="http://schemas.openxmlformats.org/officeDocument/2006/customXml" ds:itemID="{AF6C94FF-E4D5-4555-9D59-FDF55321A4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 Plan acción seguimiento</vt:lpstr>
      <vt:lpstr>Indicadores de Resultado (IR)</vt:lpstr>
      <vt:lpstr>Lista de chequeo</vt:lpstr>
      <vt:lpstr>Instrucciones PAS</vt:lpstr>
      <vt:lpstr>Desplegables</vt:lpstr>
      <vt:lpstr>' Plan acción seguimiento'!Área_de_impresión</vt:lpstr>
      <vt:lpstr>'Indicadores de Resultado (IR)'!Área_de_impresión</vt:lpstr>
      <vt:lpstr>'Instrucciones PAS'!Área_de_impresión</vt:lpstr>
      <vt:lpstr>'Lista de chequeo'!Área_de_impresión</vt:lpstr>
    </vt:vector>
  </TitlesOfParts>
  <Manager/>
  <Company>DNP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4080</dc:title>
  <dc:subject/>
  <dc:creator>DNP</dc:creator>
  <cp:keywords/>
  <dc:description/>
  <cp:lastModifiedBy>Lilian Vanesa Ramirez Ardila</cp:lastModifiedBy>
  <cp:revision/>
  <dcterms:created xsi:type="dcterms:W3CDTF">2008-04-24T15:07:06Z</dcterms:created>
  <dcterms:modified xsi:type="dcterms:W3CDTF">2022-04-25T19:05:42Z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687bd7e9-f81d-4edf-9124-007394358e90</vt:lpwstr>
  </property>
  <property fmtid="{D5CDD505-2E9C-101B-9397-08002B2CF9AE}" pid="4" name="Tipo Conpes">
    <vt:lpwstr>7;#CONPES Económicos|7c1a6167-1b5b-496e-b1b4-75ec465787d9</vt:lpwstr>
  </property>
</Properties>
</file>